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225" yWindow="-180" windowWidth="16860" windowHeight="12540" tabRatio="753" activeTab="1"/>
  </bookViews>
  <sheets>
    <sheet name="Приложение 1" sheetId="1" r:id="rId1"/>
    <sheet name="Приложение 2" sheetId="2" r:id="rId2"/>
    <sheet name="Приложение 4" sheetId="10" r:id="rId3"/>
    <sheet name="Приложение 5" sheetId="5" r:id="rId4"/>
  </sheets>
  <definedNames>
    <definedName name="_xlnm._FilterDatabase" localSheetId="0" hidden="1">'Приложение 1'!$A$7:$W$658</definedName>
    <definedName name="_xlnm._FilterDatabase" localSheetId="1" hidden="1">'Приложение 2'!$A$7:$Y$922</definedName>
    <definedName name="_xlnm.Print_Area" localSheetId="0">'Приложение 1'!$A$1:$N$658</definedName>
    <definedName name="_xlnm.Print_Area" localSheetId="1">'Приложение 2'!$A$1:$P$922</definedName>
    <definedName name="_xlnm.Print_Area" localSheetId="2">'Приложение 4'!$A$1:$M$80</definedName>
    <definedName name="_xlnm.Print_Area" localSheetId="3">'Приложение 5'!$A$1:$E$20</definedName>
  </definedNames>
  <calcPr calcId="145621"/>
</workbook>
</file>

<file path=xl/calcChain.xml><?xml version="1.0" encoding="utf-8"?>
<calcChain xmlns="http://schemas.openxmlformats.org/spreadsheetml/2006/main">
  <c r="G509" i="1" l="1"/>
  <c r="I219" i="2" l="1"/>
  <c r="D22" i="10"/>
  <c r="J108" i="2"/>
  <c r="I108" i="2"/>
  <c r="P16" i="2" l="1"/>
  <c r="M16" i="2"/>
  <c r="N27" i="1"/>
  <c r="K27" i="1"/>
  <c r="I396" i="2" l="1"/>
  <c r="J398" i="2"/>
  <c r="G440" i="1"/>
  <c r="H442" i="1"/>
  <c r="H441" i="1"/>
  <c r="I566" i="2" l="1"/>
  <c r="I565" i="2" s="1"/>
  <c r="I629" i="2"/>
  <c r="I628" i="2" s="1"/>
  <c r="I627" i="2" s="1"/>
  <c r="I626" i="2" s="1"/>
  <c r="G127" i="1"/>
  <c r="G126" i="1" s="1"/>
  <c r="G125" i="1" s="1"/>
  <c r="H128" i="1"/>
  <c r="I539" i="2"/>
  <c r="G70" i="1"/>
  <c r="G86" i="1"/>
  <c r="I729" i="2"/>
  <c r="I728" i="2" s="1"/>
  <c r="G339" i="1"/>
  <c r="G338" i="1" s="1"/>
  <c r="H341" i="1"/>
  <c r="I339" i="2" l="1"/>
  <c r="G466" i="1" l="1"/>
  <c r="I428" i="2" l="1"/>
  <c r="G550" i="1"/>
  <c r="I622" i="2"/>
  <c r="I621" i="2" s="1"/>
  <c r="I620" i="2" s="1"/>
  <c r="J623" i="2"/>
  <c r="H652" i="1"/>
  <c r="H653" i="1"/>
  <c r="G652" i="1"/>
  <c r="I431" i="2" l="1"/>
  <c r="I430" i="2" s="1"/>
  <c r="I429" i="2" s="1"/>
  <c r="J431" i="2" l="1"/>
  <c r="J430" i="2" s="1"/>
  <c r="J429" i="2" s="1"/>
  <c r="J432" i="2"/>
  <c r="G656" i="1"/>
  <c r="H657" i="1"/>
  <c r="H656" i="1" s="1"/>
  <c r="I338" i="2" l="1"/>
  <c r="J341" i="2"/>
  <c r="G465" i="1"/>
  <c r="H468" i="1"/>
  <c r="J920" i="2" l="1"/>
  <c r="I920" i="2"/>
  <c r="G624" i="1"/>
  <c r="H625" i="1"/>
  <c r="H624" i="1" s="1"/>
  <c r="J856" i="2"/>
  <c r="I854" i="2"/>
  <c r="I853" i="2" s="1"/>
  <c r="I852" i="2" s="1"/>
  <c r="I851" i="2" s="1"/>
  <c r="I850" i="2" s="1"/>
  <c r="I849" i="2" s="1"/>
  <c r="I848" i="2" s="1"/>
  <c r="J703" i="2"/>
  <c r="J704" i="2"/>
  <c r="I702" i="2"/>
  <c r="I698" i="2" s="1"/>
  <c r="I697" i="2" s="1"/>
  <c r="H162" i="1"/>
  <c r="H163" i="1"/>
  <c r="G161" i="1"/>
  <c r="H509" i="1"/>
  <c r="J219" i="2"/>
  <c r="H22" i="10"/>
  <c r="H161" i="1" l="1"/>
  <c r="I15" i="10"/>
  <c r="F15" i="10" s="1"/>
  <c r="F14" i="10" s="1"/>
  <c r="M15" i="10"/>
  <c r="M14" i="10" s="1"/>
  <c r="D16" i="10"/>
  <c r="E16" i="10"/>
  <c r="F16" i="10"/>
  <c r="H16" i="10"/>
  <c r="I16" i="10"/>
  <c r="J16" i="10"/>
  <c r="L16" i="10"/>
  <c r="M16" i="10"/>
  <c r="C17" i="10"/>
  <c r="C16" i="10" s="1"/>
  <c r="D20" i="10"/>
  <c r="D19" i="10" s="1"/>
  <c r="D13" i="10" s="1"/>
  <c r="D12" i="10" s="1"/>
  <c r="E20" i="10"/>
  <c r="H20" i="10"/>
  <c r="L20" i="10"/>
  <c r="M20" i="10"/>
  <c r="C22" i="10"/>
  <c r="I22" i="10"/>
  <c r="F22" i="10" s="1"/>
  <c r="J22" i="10"/>
  <c r="J20" i="10" s="1"/>
  <c r="C23" i="10"/>
  <c r="C24" i="10"/>
  <c r="C25" i="10"/>
  <c r="F30" i="10"/>
  <c r="C26" i="10"/>
  <c r="C27" i="10"/>
  <c r="C28" i="10"/>
  <c r="F31" i="10"/>
  <c r="F32" i="10"/>
  <c r="F33" i="10"/>
  <c r="F34" i="10"/>
  <c r="F35" i="10"/>
  <c r="F36" i="10"/>
  <c r="C29" i="10"/>
  <c r="F37" i="10"/>
  <c r="F38" i="10"/>
  <c r="E39" i="10"/>
  <c r="H39" i="10"/>
  <c r="I39" i="10"/>
  <c r="J39" i="10"/>
  <c r="K39" i="10"/>
  <c r="K19" i="10" s="1"/>
  <c r="L39" i="10"/>
  <c r="M39" i="10"/>
  <c r="C41" i="10"/>
  <c r="F41" i="10"/>
  <c r="C42" i="10"/>
  <c r="F42" i="10"/>
  <c r="C43" i="10"/>
  <c r="F43" i="10"/>
  <c r="C44" i="10"/>
  <c r="C45" i="10"/>
  <c r="C46" i="10"/>
  <c r="E47" i="10"/>
  <c r="I47" i="10"/>
  <c r="M47" i="10"/>
  <c r="C49" i="10"/>
  <c r="C50" i="10"/>
  <c r="C51" i="10"/>
  <c r="C52" i="10"/>
  <c r="C53" i="10"/>
  <c r="C54" i="10"/>
  <c r="C55" i="10"/>
  <c r="C56" i="10"/>
  <c r="C57" i="10"/>
  <c r="C58" i="10"/>
  <c r="C59" i="10"/>
  <c r="F60" i="10"/>
  <c r="F61" i="10"/>
  <c r="F62" i="10"/>
  <c r="J63" i="10"/>
  <c r="J47" i="10" s="1"/>
  <c r="J66" i="10"/>
  <c r="E67" i="10"/>
  <c r="E66" i="10" s="1"/>
  <c r="C66" i="10" s="1"/>
  <c r="I67" i="10"/>
  <c r="I66" i="10" s="1"/>
  <c r="J67" i="10"/>
  <c r="G69" i="10"/>
  <c r="G68" i="10" s="1"/>
  <c r="G13" i="10" s="1"/>
  <c r="G12" i="10" s="1"/>
  <c r="H69" i="10"/>
  <c r="H68" i="10" s="1"/>
  <c r="I69" i="10"/>
  <c r="I68" i="10" s="1"/>
  <c r="K69" i="10"/>
  <c r="K68" i="10" s="1"/>
  <c r="L69" i="10"/>
  <c r="L68" i="10" s="1"/>
  <c r="M69" i="10"/>
  <c r="M68" i="10" s="1"/>
  <c r="F71" i="10"/>
  <c r="F69" i="10" s="1"/>
  <c r="F68" i="10" s="1"/>
  <c r="J72" i="10"/>
  <c r="J69" i="10" s="1"/>
  <c r="J68" i="10" s="1"/>
  <c r="I73" i="10"/>
  <c r="F73" i="10" s="1"/>
  <c r="J73" i="10"/>
  <c r="M73" i="10"/>
  <c r="F75" i="10"/>
  <c r="C77" i="10"/>
  <c r="C78" i="10"/>
  <c r="E79" i="10"/>
  <c r="E75" i="10" s="1"/>
  <c r="C80" i="10"/>
  <c r="M19" i="10" l="1"/>
  <c r="F67" i="10"/>
  <c r="F66" i="10" s="1"/>
  <c r="F47" i="10"/>
  <c r="F39" i="10"/>
  <c r="E19" i="10"/>
  <c r="E13" i="10" s="1"/>
  <c r="J19" i="10"/>
  <c r="L19" i="10"/>
  <c r="L13" i="10" s="1"/>
  <c r="L12" i="10" s="1"/>
  <c r="C47" i="10"/>
  <c r="H19" i="10"/>
  <c r="H13" i="10" s="1"/>
  <c r="H12" i="10" s="1"/>
  <c r="C79" i="10"/>
  <c r="C39" i="10"/>
  <c r="I20" i="10"/>
  <c r="I19" i="10" s="1"/>
  <c r="F20" i="10"/>
  <c r="E73" i="10"/>
  <c r="E74" i="10"/>
  <c r="C75" i="10"/>
  <c r="K13" i="10"/>
  <c r="K12" i="10" s="1"/>
  <c r="C20" i="10"/>
  <c r="M13" i="10"/>
  <c r="M12" i="10" s="1"/>
  <c r="I14" i="10"/>
  <c r="J15" i="10"/>
  <c r="J14" i="10" s="1"/>
  <c r="C67" i="10"/>
  <c r="I476" i="2"/>
  <c r="I475" i="2" s="1"/>
  <c r="I474" i="2" s="1"/>
  <c r="I473" i="2" s="1"/>
  <c r="I472" i="2" s="1"/>
  <c r="J477" i="2"/>
  <c r="G90" i="1"/>
  <c r="H93" i="1"/>
  <c r="H91" i="1" s="1"/>
  <c r="J573" i="2"/>
  <c r="G609" i="1"/>
  <c r="H610" i="1"/>
  <c r="H609" i="1" s="1"/>
  <c r="I687" i="2"/>
  <c r="I686" i="2" s="1"/>
  <c r="I685" i="2" s="1"/>
  <c r="J688" i="2"/>
  <c r="J687" i="2" s="1"/>
  <c r="G79" i="1"/>
  <c r="H80" i="1"/>
  <c r="H79" i="1" s="1"/>
  <c r="I916" i="2"/>
  <c r="J917" i="2"/>
  <c r="I589" i="2"/>
  <c r="I588" i="2" s="1"/>
  <c r="I587" i="2" s="1"/>
  <c r="J590" i="2"/>
  <c r="I551" i="2"/>
  <c r="I550" i="2" s="1"/>
  <c r="I549" i="2" s="1"/>
  <c r="J552" i="2"/>
  <c r="G620" i="1"/>
  <c r="H621" i="1"/>
  <c r="G158" i="1"/>
  <c r="G157" i="1" s="1"/>
  <c r="G151" i="1" s="1"/>
  <c r="H160" i="1"/>
  <c r="H158" i="1" s="1"/>
  <c r="J696" i="2"/>
  <c r="I544" i="2"/>
  <c r="I538" i="2" s="1"/>
  <c r="I537" i="2" s="1"/>
  <c r="G77" i="1"/>
  <c r="G97" i="1"/>
  <c r="H98" i="1"/>
  <c r="H97" i="1" s="1"/>
  <c r="I625" i="2"/>
  <c r="I624" i="2" s="1"/>
  <c r="J635" i="2"/>
  <c r="J634" i="2"/>
  <c r="J633" i="2"/>
  <c r="J636" i="2"/>
  <c r="I595" i="2"/>
  <c r="G177" i="1"/>
  <c r="J13" i="10" l="1"/>
  <c r="J12" i="10" s="1"/>
  <c r="C19" i="10"/>
  <c r="C13" i="10" s="1"/>
  <c r="F19" i="10"/>
  <c r="F13" i="10" s="1"/>
  <c r="F12" i="10" s="1"/>
  <c r="I13" i="10"/>
  <c r="I12" i="10" s="1"/>
  <c r="G69" i="1"/>
  <c r="E12" i="10"/>
  <c r="C74" i="10"/>
  <c r="C73" i="10"/>
  <c r="I536" i="2"/>
  <c r="I535" i="2" s="1"/>
  <c r="I534" i="2" s="1"/>
  <c r="C12" i="10" l="1"/>
  <c r="G628" i="1"/>
  <c r="I104" i="2"/>
  <c r="J428" i="2"/>
  <c r="J348" i="2"/>
  <c r="J347" i="2" s="1"/>
  <c r="I347" i="2"/>
  <c r="I346" i="2" s="1"/>
  <c r="G474" i="1"/>
  <c r="G473" i="1" s="1"/>
  <c r="K391" i="2"/>
  <c r="K338" i="2"/>
  <c r="I426" i="2" l="1"/>
  <c r="I425" i="2"/>
  <c r="I424" i="2" s="1"/>
  <c r="I414" i="2" s="1"/>
  <c r="I374" i="1"/>
  <c r="I465" i="1"/>
  <c r="I435" i="1"/>
  <c r="G535" i="1"/>
  <c r="G534" i="1" s="1"/>
  <c r="G533" i="1" s="1"/>
  <c r="G532" i="1" s="1"/>
  <c r="G514" i="1"/>
  <c r="H514" i="1" s="1"/>
  <c r="G512" i="1"/>
  <c r="G511" i="1" s="1"/>
  <c r="G510" i="1"/>
  <c r="G508" i="1" s="1"/>
  <c r="G507" i="1" s="1"/>
  <c r="I224" i="2"/>
  <c r="I222" i="2"/>
  <c r="I221" i="2" s="1"/>
  <c r="I220" i="2"/>
  <c r="I218" i="2" s="1"/>
  <c r="I240" i="2"/>
  <c r="I239" i="2" s="1"/>
  <c r="I238" i="2" s="1"/>
  <c r="I237" i="2" s="1"/>
  <c r="I106" i="2"/>
  <c r="J107" i="2"/>
  <c r="G630" i="1"/>
  <c r="H631" i="1"/>
  <c r="G547" i="1"/>
  <c r="G546" i="1" s="1"/>
  <c r="G536" i="1" s="1"/>
  <c r="G548" i="1"/>
  <c r="H550" i="1"/>
  <c r="H548" i="1" s="1"/>
  <c r="H280" i="1"/>
  <c r="J844" i="2"/>
  <c r="G513" i="1" l="1"/>
  <c r="H512" i="1"/>
  <c r="J220" i="2"/>
  <c r="I217" i="2"/>
  <c r="H510" i="1"/>
  <c r="H508" i="1" s="1"/>
  <c r="J222" i="2"/>
  <c r="M339" i="2"/>
  <c r="M338" i="2" s="1"/>
  <c r="L338" i="2"/>
  <c r="J465" i="1"/>
  <c r="L389" i="2" l="1"/>
  <c r="L388" i="2" s="1"/>
  <c r="L393" i="2"/>
  <c r="M391" i="2"/>
  <c r="L391" i="2"/>
  <c r="L347" i="2"/>
  <c r="L292" i="2"/>
  <c r="M97" i="2"/>
  <c r="M99" i="2"/>
  <c r="M253" i="2"/>
  <c r="L253" i="2"/>
  <c r="L252" i="2" s="1"/>
  <c r="L251" i="2" s="1"/>
  <c r="L250" i="2" s="1"/>
  <c r="L242" i="2" s="1"/>
  <c r="L382" i="2" l="1"/>
  <c r="L381" i="2" s="1"/>
  <c r="J437" i="1"/>
  <c r="K436" i="1"/>
  <c r="K435" i="1" s="1"/>
  <c r="J435" i="1"/>
  <c r="J474" i="1"/>
  <c r="J374" i="1"/>
  <c r="J373" i="1" s="1"/>
  <c r="J372" i="1" s="1"/>
  <c r="J371" i="1" s="1"/>
  <c r="J433" i="1"/>
  <c r="J432" i="1" s="1"/>
  <c r="J252" i="1"/>
  <c r="F530" i="1"/>
  <c r="I15" i="1"/>
  <c r="H29" i="1"/>
  <c r="F101" i="1"/>
  <c r="F143" i="1"/>
  <c r="F174" i="1"/>
  <c r="F176" i="1"/>
  <c r="L252" i="1"/>
  <c r="L255" i="1"/>
  <c r="L254" i="1" s="1"/>
  <c r="F342" i="1"/>
  <c r="F437" i="1"/>
  <c r="F448" i="1"/>
  <c r="I499" i="1"/>
  <c r="L499" i="1"/>
  <c r="H655" i="1"/>
  <c r="F654" i="1"/>
  <c r="K26" i="2"/>
  <c r="H819" i="2"/>
  <c r="K67" i="2"/>
  <c r="K69" i="2"/>
  <c r="P97" i="2"/>
  <c r="H159" i="2"/>
  <c r="H202" i="2"/>
  <c r="N233" i="2"/>
  <c r="N232" i="2" s="1"/>
  <c r="N231" i="2" s="1"/>
  <c r="N209" i="2"/>
  <c r="K209" i="2"/>
  <c r="K233" i="2"/>
  <c r="K232" i="2" s="1"/>
  <c r="K231" i="2" s="1"/>
  <c r="N292" i="2"/>
  <c r="N295" i="2"/>
  <c r="N294" i="2" s="1"/>
  <c r="H334" i="2"/>
  <c r="H344" i="2"/>
  <c r="J353" i="2"/>
  <c r="H353" i="2"/>
  <c r="J371" i="2"/>
  <c r="H368" i="2"/>
  <c r="N412" i="2"/>
  <c r="K412" i="2"/>
  <c r="H404" i="2"/>
  <c r="H393" i="2"/>
  <c r="H593" i="2"/>
  <c r="H596" i="2"/>
  <c r="H595" i="2" s="1"/>
  <c r="H642" i="2"/>
  <c r="H695" i="2"/>
  <c r="H732" i="2"/>
  <c r="H891" i="2"/>
  <c r="N285" i="2" l="1"/>
  <c r="J422" i="1"/>
  <c r="I326" i="2"/>
  <c r="G415" i="1"/>
  <c r="H333" i="1" l="1"/>
  <c r="J722" i="2"/>
  <c r="I317" i="2" l="1"/>
  <c r="I316" i="2" s="1"/>
  <c r="G407" i="1"/>
  <c r="I721" i="2"/>
  <c r="P295" i="2"/>
  <c r="P294" i="2" s="1"/>
  <c r="G406" i="1" l="1"/>
  <c r="G332" i="1" l="1"/>
  <c r="I727" i="2"/>
  <c r="J732" i="2"/>
  <c r="G337" i="1"/>
  <c r="H342" i="1"/>
  <c r="J473" i="1" l="1"/>
  <c r="I401" i="2" l="1"/>
  <c r="J401" i="2"/>
  <c r="H401" i="2"/>
  <c r="G445" i="1"/>
  <c r="H445" i="1"/>
  <c r="F445" i="1"/>
  <c r="I301" i="2"/>
  <c r="I300" i="2" s="1"/>
  <c r="I299" i="2" s="1"/>
  <c r="I298" i="2" s="1"/>
  <c r="I297" i="2" s="1"/>
  <c r="G397" i="1"/>
  <c r="G437" i="1" l="1"/>
  <c r="G422" i="1" s="1"/>
  <c r="I393" i="2"/>
  <c r="I382" i="2" s="1"/>
  <c r="J393" i="2"/>
  <c r="J370" i="2" l="1"/>
  <c r="I370" i="2"/>
  <c r="H370" i="2"/>
  <c r="H654" i="1"/>
  <c r="J695" i="2" l="1"/>
  <c r="I695" i="2"/>
  <c r="I690" i="2" s="1"/>
  <c r="I689" i="2" s="1"/>
  <c r="I684" i="2" s="1"/>
  <c r="I683" i="2" s="1"/>
  <c r="I682" i="2" s="1"/>
  <c r="I681" i="2" s="1"/>
  <c r="I642" i="2"/>
  <c r="I641" i="2" s="1"/>
  <c r="I640" i="2" s="1"/>
  <c r="I639" i="2" s="1"/>
  <c r="I638" i="2" s="1"/>
  <c r="I637" i="2" s="1"/>
  <c r="J643" i="2"/>
  <c r="J642" i="2" s="1"/>
  <c r="G143" i="1"/>
  <c r="G142" i="1" s="1"/>
  <c r="G141" i="1" s="1"/>
  <c r="H144" i="1"/>
  <c r="H143" i="1" s="1"/>
  <c r="J596" i="2"/>
  <c r="J595" i="2" s="1"/>
  <c r="H177" i="1"/>
  <c r="H176" i="1" s="1"/>
  <c r="G176" i="1"/>
  <c r="M259" i="1" l="1"/>
  <c r="M258" i="1" s="1"/>
  <c r="M252" i="1"/>
  <c r="M255" i="1"/>
  <c r="M254" i="1" s="1"/>
  <c r="P210" i="2" l="1"/>
  <c r="P209" i="2" s="1"/>
  <c r="M210" i="2"/>
  <c r="M209" i="2" s="1"/>
  <c r="O209" i="2"/>
  <c r="O208" i="2" s="1"/>
  <c r="L209" i="2"/>
  <c r="L208" i="2" s="1"/>
  <c r="N500" i="1"/>
  <c r="N499" i="1" s="1"/>
  <c r="M499" i="1"/>
  <c r="K500" i="1"/>
  <c r="K499" i="1" s="1"/>
  <c r="J499" i="1"/>
  <c r="J498" i="1" s="1"/>
  <c r="P69" i="2" l="1"/>
  <c r="M69" i="2"/>
  <c r="O69" i="2"/>
  <c r="O66" i="2" s="1"/>
  <c r="O62" i="2" s="1"/>
  <c r="O61" i="2" s="1"/>
  <c r="L69" i="2"/>
  <c r="I819" i="2"/>
  <c r="G303" i="1"/>
  <c r="L67" i="2"/>
  <c r="M68" i="2"/>
  <c r="M67" i="2" s="1"/>
  <c r="K16" i="1"/>
  <c r="K15" i="1" s="1"/>
  <c r="J15" i="1"/>
  <c r="L22" i="2"/>
  <c r="L900" i="2"/>
  <c r="M902" i="2"/>
  <c r="L835" i="2"/>
  <c r="M837" i="2"/>
  <c r="L655" i="2"/>
  <c r="M657" i="2"/>
  <c r="M24" i="2"/>
  <c r="N30" i="1"/>
  <c r="K30" i="1"/>
  <c r="L66" i="2" l="1"/>
  <c r="N17" i="1" l="1"/>
  <c r="K17" i="1"/>
  <c r="M14" i="1"/>
  <c r="M10" i="1" s="1"/>
  <c r="J17" i="1"/>
  <c r="J14" i="1" s="1"/>
  <c r="J10" i="1" s="1"/>
  <c r="L337" i="2" l="1"/>
  <c r="M345" i="2"/>
  <c r="M344" i="2" s="1"/>
  <c r="K472" i="1"/>
  <c r="H486" i="1"/>
  <c r="I102" i="2"/>
  <c r="I101" i="2" s="1"/>
  <c r="G626" i="1"/>
  <c r="M498" i="1"/>
  <c r="N514" i="1"/>
  <c r="N513" i="1" s="1"/>
  <c r="M513" i="1"/>
  <c r="M506" i="1" s="1"/>
  <c r="P224" i="2"/>
  <c r="P223" i="2" s="1"/>
  <c r="O223" i="2"/>
  <c r="O216" i="2" s="1"/>
  <c r="P233" i="2"/>
  <c r="P232" i="2" s="1"/>
  <c r="P231" i="2" s="1"/>
  <c r="N524" i="1"/>
  <c r="N523" i="1" s="1"/>
  <c r="N522" i="1" s="1"/>
  <c r="P133" i="2"/>
  <c r="M133" i="2"/>
  <c r="H27" i="1"/>
  <c r="H612" i="1"/>
  <c r="K495" i="1"/>
  <c r="N495" i="1"/>
  <c r="P912" i="2"/>
  <c r="M912" i="2"/>
  <c r="P901" i="2"/>
  <c r="M901" i="2"/>
  <c r="P884" i="2"/>
  <c r="M884" i="2"/>
  <c r="P836" i="2"/>
  <c r="M836" i="2"/>
  <c r="P656" i="2"/>
  <c r="M656" i="2"/>
  <c r="J656" i="2"/>
  <c r="P413" i="2"/>
  <c r="P412" i="2" s="1"/>
  <c r="M413" i="2"/>
  <c r="M412" i="2" s="1"/>
  <c r="P274" i="2"/>
  <c r="M274" i="2"/>
  <c r="J274" i="2"/>
  <c r="J133" i="2"/>
  <c r="P103" i="2"/>
  <c r="M103" i="2"/>
  <c r="J103" i="2"/>
  <c r="M28" i="1"/>
  <c r="J28" i="1"/>
  <c r="P23" i="2"/>
  <c r="M23" i="2"/>
  <c r="J23" i="2"/>
  <c r="J16" i="2"/>
  <c r="N627" i="1"/>
  <c r="K627" i="1"/>
  <c r="N616" i="1"/>
  <c r="K616" i="1"/>
  <c r="N612" i="1"/>
  <c r="K612" i="1"/>
  <c r="N604" i="1"/>
  <c r="K604" i="1"/>
  <c r="N558" i="1"/>
  <c r="K558" i="1"/>
  <c r="H558" i="1"/>
  <c r="N29" i="1"/>
  <c r="K29" i="1"/>
  <c r="O207" i="2" l="1"/>
  <c r="O206" i="2" s="1"/>
  <c r="O205" i="2" s="1"/>
  <c r="O204" i="2" s="1"/>
  <c r="M497" i="1"/>
  <c r="M496" i="1" s="1"/>
  <c r="M421" i="1"/>
  <c r="J421" i="1"/>
  <c r="J413" i="2"/>
  <c r="H495" i="1"/>
  <c r="I159" i="2"/>
  <c r="I158" i="2"/>
  <c r="I157" i="2" s="1"/>
  <c r="I156" i="2" s="1"/>
  <c r="I149" i="2" s="1"/>
  <c r="I148" i="2" s="1"/>
  <c r="I147" i="2" s="1"/>
  <c r="J161" i="2"/>
  <c r="J159" i="2" s="1"/>
  <c r="G363" i="1"/>
  <c r="G362" i="1" s="1"/>
  <c r="G361" i="1" s="1"/>
  <c r="G360" i="1" s="1"/>
  <c r="G351" i="1" s="1"/>
  <c r="H365" i="1"/>
  <c r="I223" i="2"/>
  <c r="I216" i="2" s="1"/>
  <c r="J224" i="2"/>
  <c r="J223" i="2" s="1"/>
  <c r="H513" i="1"/>
  <c r="G506" i="1"/>
  <c r="J513" i="1"/>
  <c r="J506" i="1" s="1"/>
  <c r="K514" i="1"/>
  <c r="K513" i="1" s="1"/>
  <c r="M224" i="2"/>
  <c r="L223" i="2"/>
  <c r="L216" i="2" s="1"/>
  <c r="M223" i="2" l="1"/>
  <c r="M233" i="2"/>
  <c r="M232" i="2" s="1"/>
  <c r="M231" i="2" s="1"/>
  <c r="I906" i="2"/>
  <c r="I905" i="2" s="1"/>
  <c r="I904" i="2" s="1"/>
  <c r="I903" i="2" s="1"/>
  <c r="J907" i="2"/>
  <c r="H643" i="1"/>
  <c r="G640" i="1"/>
  <c r="K524" i="1" l="1"/>
  <c r="K523" i="1" s="1"/>
  <c r="K522" i="1" s="1"/>
  <c r="H522" i="1"/>
  <c r="G522" i="1"/>
  <c r="F522" i="1"/>
  <c r="D522" i="1"/>
  <c r="O292" i="2"/>
  <c r="P293" i="2"/>
  <c r="O97" i="2"/>
  <c r="O96" i="2" s="1"/>
  <c r="O95" i="2" s="1"/>
  <c r="O94" i="2" s="1"/>
  <c r="O60" i="2" s="1"/>
  <c r="N253" i="1"/>
  <c r="N252" i="1" s="1"/>
  <c r="N255" i="1"/>
  <c r="N254" i="1" s="1"/>
  <c r="H635" i="1"/>
  <c r="G634" i="1"/>
  <c r="J891" i="2"/>
  <c r="I888" i="2"/>
  <c r="I593" i="2"/>
  <c r="J594" i="2"/>
  <c r="J593" i="2" s="1"/>
  <c r="H175" i="1"/>
  <c r="H174" i="1" s="1"/>
  <c r="G174" i="1"/>
  <c r="J368" i="2"/>
  <c r="H632" i="1"/>
  <c r="J405" i="2"/>
  <c r="G448" i="1"/>
  <c r="J822" i="2"/>
  <c r="I821" i="2"/>
  <c r="G284" i="1"/>
  <c r="H306" i="1"/>
  <c r="H305" i="1" s="1"/>
  <c r="I790" i="2"/>
  <c r="I344" i="2"/>
  <c r="I334" i="2"/>
  <c r="I333" i="2" s="1"/>
  <c r="I332" i="2" s="1"/>
  <c r="J335" i="2"/>
  <c r="J334" i="2" s="1"/>
  <c r="H452" i="1"/>
  <c r="H450" i="1" s="1"/>
  <c r="G450" i="1"/>
  <c r="G169" i="1" l="1"/>
  <c r="G168" i="1" s="1"/>
  <c r="O285" i="2"/>
  <c r="O284" i="2" s="1"/>
  <c r="O279" i="2" s="1"/>
  <c r="O278" i="2" s="1"/>
  <c r="I592" i="2"/>
  <c r="I591" i="2" s="1"/>
  <c r="I365" i="2"/>
  <c r="I364" i="2" s="1"/>
  <c r="H449" i="1"/>
  <c r="H448" i="1" s="1"/>
  <c r="P96" i="2"/>
  <c r="P95" i="2" s="1"/>
  <c r="P94" i="2" s="1"/>
  <c r="P292" i="2"/>
  <c r="P285" i="2" s="1"/>
  <c r="I404" i="2"/>
  <c r="J404" i="2" s="1"/>
  <c r="I800" i="2"/>
  <c r="I786" i="2" s="1"/>
  <c r="I785" i="2" s="1"/>
  <c r="I784" i="2" s="1"/>
  <c r="I783" i="2" s="1"/>
  <c r="I724" i="2"/>
  <c r="I723" i="2" s="1"/>
  <c r="I720" i="2" s="1"/>
  <c r="I719" i="2" s="1"/>
  <c r="I718" i="2" s="1"/>
  <c r="I717" i="2" s="1"/>
  <c r="I716" i="2" s="1"/>
  <c r="G335" i="1"/>
  <c r="G334" i="1" s="1"/>
  <c r="G331" i="1" s="1"/>
  <c r="G330" i="1" s="1"/>
  <c r="F335" i="1"/>
  <c r="J134" i="2"/>
  <c r="G557" i="1"/>
  <c r="H559" i="1"/>
  <c r="G263" i="1"/>
  <c r="I202" i="2" l="1"/>
  <c r="I201" i="2" s="1"/>
  <c r="I200" i="2" s="1"/>
  <c r="I199" i="2" s="1"/>
  <c r="I198" i="2" s="1"/>
  <c r="J203" i="2"/>
  <c r="J202" i="2" s="1"/>
  <c r="H531" i="1"/>
  <c r="H530" i="1" s="1"/>
  <c r="G530" i="1"/>
  <c r="G529" i="1" s="1"/>
  <c r="G528" i="1" s="1"/>
  <c r="N120" i="2"/>
  <c r="N15" i="2"/>
  <c r="K15" i="2"/>
  <c r="H15" i="2"/>
  <c r="H257" i="2"/>
  <c r="K292" i="2"/>
  <c r="H438" i="2"/>
  <c r="K438" i="2"/>
  <c r="N438" i="2"/>
  <c r="H484" i="2"/>
  <c r="K484" i="2"/>
  <c r="N484" i="2"/>
  <c r="H843" i="2"/>
  <c r="F584" i="1"/>
  <c r="L26" i="1"/>
  <c r="I26" i="1"/>
  <c r="F26" i="1"/>
  <c r="L31" i="1"/>
  <c r="I31" i="1"/>
  <c r="F31" i="1"/>
  <c r="I252" i="1"/>
  <c r="I299" i="1"/>
  <c r="I520" i="1"/>
  <c r="I494" i="1"/>
  <c r="F494" i="1"/>
  <c r="L494" i="1"/>
  <c r="D451" i="1" l="1"/>
  <c r="F451" i="1"/>
  <c r="H451" i="1"/>
  <c r="I451" i="1"/>
  <c r="I447" i="1" s="1"/>
  <c r="K451" i="1"/>
  <c r="K447" i="1" s="1"/>
  <c r="L451" i="1"/>
  <c r="N451" i="1"/>
  <c r="I360" i="2" l="1"/>
  <c r="I359" i="2" s="1"/>
  <c r="J361" i="2"/>
  <c r="J360" i="2" s="1"/>
  <c r="H360" i="2"/>
  <c r="G489" i="1"/>
  <c r="G488" i="1" s="1"/>
  <c r="H490" i="1"/>
  <c r="H489" i="1" s="1"/>
  <c r="F489" i="1"/>
  <c r="I337" i="2" l="1"/>
  <c r="I406" i="2"/>
  <c r="I403" i="2" s="1"/>
  <c r="I381" i="2" s="1"/>
  <c r="G453" i="1"/>
  <c r="G447" i="1" s="1"/>
  <c r="I257" i="2"/>
  <c r="I256" i="2" s="1"/>
  <c r="I255" i="2" s="1"/>
  <c r="I242" i="2" s="1"/>
  <c r="J258" i="2"/>
  <c r="J257" i="2" s="1"/>
  <c r="H585" i="1"/>
  <c r="H584" i="1" s="1"/>
  <c r="O120" i="2"/>
  <c r="O119" i="2" s="1"/>
  <c r="O118" i="2" s="1"/>
  <c r="O117" i="2" s="1"/>
  <c r="O116" i="2" s="1"/>
  <c r="O115" i="2" s="1"/>
  <c r="O114" i="2" s="1"/>
  <c r="P121" i="2"/>
  <c r="P120" i="2" s="1"/>
  <c r="M34" i="1"/>
  <c r="M33" i="1" s="1"/>
  <c r="N57" i="1"/>
  <c r="K809" i="2"/>
  <c r="K808" i="2" s="1"/>
  <c r="L815" i="2"/>
  <c r="L809" i="2" s="1"/>
  <c r="L808" i="2" s="1"/>
  <c r="L800" i="2" s="1"/>
  <c r="L786" i="2" s="1"/>
  <c r="L785" i="2" s="1"/>
  <c r="L784" i="2" s="1"/>
  <c r="L783" i="2" s="1"/>
  <c r="M818" i="2"/>
  <c r="M815" i="2" s="1"/>
  <c r="M809" i="2" s="1"/>
  <c r="J299" i="1"/>
  <c r="J284" i="1" s="1"/>
  <c r="J259" i="1" s="1"/>
  <c r="J258" i="1" s="1"/>
  <c r="K302" i="1"/>
  <c r="K299" i="1" s="1"/>
  <c r="K293" i="1" s="1"/>
  <c r="K292" i="1" s="1"/>
  <c r="I843" i="2"/>
  <c r="I840" i="2" s="1"/>
  <c r="I839" i="2" s="1"/>
  <c r="I838" i="2" s="1"/>
  <c r="J843" i="2"/>
  <c r="H279" i="1"/>
  <c r="G276" i="1"/>
  <c r="G259" i="1" s="1"/>
  <c r="G258" i="1" s="1"/>
  <c r="H412" i="2"/>
  <c r="H411" i="2" s="1"/>
  <c r="H410" i="2" s="1"/>
  <c r="F413" i="2"/>
  <c r="J412" i="2"/>
  <c r="J411" i="2" s="1"/>
  <c r="J410" i="2" s="1"/>
  <c r="I412" i="2"/>
  <c r="I411" i="2" s="1"/>
  <c r="I410" i="2" s="1"/>
  <c r="F412" i="2"/>
  <c r="F411" i="2" s="1"/>
  <c r="F410" i="2" s="1"/>
  <c r="P411" i="2"/>
  <c r="P410" i="2" s="1"/>
  <c r="O411" i="2"/>
  <c r="O410" i="2" s="1"/>
  <c r="O374" i="2" s="1"/>
  <c r="O373" i="2" s="1"/>
  <c r="O372" i="2" s="1"/>
  <c r="N411" i="2"/>
  <c r="N410" i="2" s="1"/>
  <c r="M411" i="2"/>
  <c r="M410" i="2" s="1"/>
  <c r="L411" i="2"/>
  <c r="L410" i="2" s="1"/>
  <c r="L374" i="2" s="1"/>
  <c r="L373" i="2" s="1"/>
  <c r="L372" i="2" s="1"/>
  <c r="K411" i="2"/>
  <c r="K410" i="2" s="1"/>
  <c r="I336" i="2" l="1"/>
  <c r="I315" i="2" s="1"/>
  <c r="I314" i="2" s="1"/>
  <c r="I313" i="2" s="1"/>
  <c r="M808" i="2"/>
  <c r="M805" i="2"/>
  <c r="M800" i="2" s="1"/>
  <c r="I374" i="2"/>
  <c r="I373" i="2" s="1"/>
  <c r="I372" i="2" s="1"/>
  <c r="J293" i="1"/>
  <c r="J292" i="1" s="1"/>
  <c r="M96" i="2" l="1"/>
  <c r="M95" i="2" s="1"/>
  <c r="M94" i="2" s="1"/>
  <c r="L96" i="2"/>
  <c r="L95" i="2" s="1"/>
  <c r="L94" i="2" s="1"/>
  <c r="M626" i="1" l="1"/>
  <c r="J626" i="1"/>
  <c r="M615" i="1"/>
  <c r="J615" i="1"/>
  <c r="G615" i="1"/>
  <c r="M611" i="1"/>
  <c r="J611" i="1"/>
  <c r="G611" i="1"/>
  <c r="M603" i="1"/>
  <c r="M600" i="1" s="1"/>
  <c r="J603" i="1"/>
  <c r="J600" i="1" s="1"/>
  <c r="G603" i="1"/>
  <c r="G600" i="1" s="1"/>
  <c r="N603" i="1"/>
  <c r="N600" i="1" s="1"/>
  <c r="N557" i="1"/>
  <c r="N552" i="1" s="1"/>
  <c r="M557" i="1"/>
  <c r="M552" i="1" s="1"/>
  <c r="M551" i="1" s="1"/>
  <c r="J557" i="1"/>
  <c r="J552" i="1" s="1"/>
  <c r="J551" i="1" s="1"/>
  <c r="G552" i="1"/>
  <c r="G551" i="1" s="1"/>
  <c r="K521" i="1"/>
  <c r="K520" i="1" s="1"/>
  <c r="H521" i="1"/>
  <c r="J520" i="1"/>
  <c r="J519" i="1" s="1"/>
  <c r="J497" i="1" s="1"/>
  <c r="F520" i="1"/>
  <c r="H494" i="1"/>
  <c r="H493" i="1" s="1"/>
  <c r="K494" i="1"/>
  <c r="K493" i="1" s="1"/>
  <c r="M494" i="1"/>
  <c r="M493" i="1" s="1"/>
  <c r="M463" i="1" s="1"/>
  <c r="M389" i="1" s="1"/>
  <c r="J494" i="1"/>
  <c r="J493" i="1" s="1"/>
  <c r="G493" i="1"/>
  <c r="M239" i="1"/>
  <c r="M238" i="1" s="1"/>
  <c r="K255" i="1"/>
  <c r="K254" i="1" s="1"/>
  <c r="I254" i="1"/>
  <c r="H252" i="1"/>
  <c r="F254" i="1"/>
  <c r="G239" i="1"/>
  <c r="G238" i="1" s="1"/>
  <c r="N122" i="1"/>
  <c r="N119" i="1"/>
  <c r="K120" i="1"/>
  <c r="K119" i="1" s="1"/>
  <c r="J119" i="1"/>
  <c r="J113" i="1" s="1"/>
  <c r="J84" i="1" s="1"/>
  <c r="J67" i="1" s="1"/>
  <c r="N32" i="1"/>
  <c r="N31" i="1" s="1"/>
  <c r="K32" i="1"/>
  <c r="K31" i="1" s="1"/>
  <c r="H32" i="1"/>
  <c r="H31" i="1" s="1"/>
  <c r="J31" i="1"/>
  <c r="G31" i="1"/>
  <c r="J439" i="2"/>
  <c r="N26" i="1"/>
  <c r="K26" i="1"/>
  <c r="H26" i="1"/>
  <c r="M26" i="1"/>
  <c r="J26" i="1"/>
  <c r="G26" i="1"/>
  <c r="N646" i="1"/>
  <c r="N644" i="1"/>
  <c r="N640" i="1"/>
  <c r="N638" i="1"/>
  <c r="N636" i="1"/>
  <c r="N634" i="1"/>
  <c r="N631" i="1"/>
  <c r="N628" i="1"/>
  <c r="N623" i="1"/>
  <c r="N622" i="1" s="1"/>
  <c r="N620" i="1"/>
  <c r="N618" i="1"/>
  <c r="N617" i="1"/>
  <c r="N613" i="1"/>
  <c r="N596" i="1"/>
  <c r="N591" i="1"/>
  <c r="N587" i="1"/>
  <c r="N576" i="1"/>
  <c r="N575" i="1" s="1"/>
  <c r="N574" i="1" s="1"/>
  <c r="N571" i="1"/>
  <c r="N565" i="1"/>
  <c r="N562" i="1"/>
  <c r="N561" i="1" s="1"/>
  <c r="N550" i="1"/>
  <c r="N549" i="1"/>
  <c r="N545" i="1"/>
  <c r="N544" i="1"/>
  <c r="N543" i="1"/>
  <c r="N537" i="1"/>
  <c r="N534" i="1"/>
  <c r="N533" i="1" s="1"/>
  <c r="N532" i="1" s="1"/>
  <c r="N529" i="1"/>
  <c r="N528" i="1" s="1"/>
  <c r="N519" i="1"/>
  <c r="N511" i="1"/>
  <c r="N507" i="1"/>
  <c r="N501" i="1"/>
  <c r="N498" i="1"/>
  <c r="N488" i="1"/>
  <c r="N474" i="1"/>
  <c r="N473" i="1" s="1"/>
  <c r="N464" i="1"/>
  <c r="N460" i="1"/>
  <c r="N459" i="1" s="1"/>
  <c r="N447" i="1" s="1"/>
  <c r="N434" i="1"/>
  <c r="N433" i="1" s="1"/>
  <c r="N432" i="1" s="1"/>
  <c r="N422" i="1" s="1"/>
  <c r="N415" i="1"/>
  <c r="N407" i="1" s="1"/>
  <c r="N401" i="1"/>
  <c r="N397" i="1"/>
  <c r="N392" i="1"/>
  <c r="N388" i="1"/>
  <c r="N387" i="1"/>
  <c r="N386" i="1"/>
  <c r="N385" i="1"/>
  <c r="N382" i="1"/>
  <c r="N381" i="1"/>
  <c r="N377" i="1"/>
  <c r="N373" i="1"/>
  <c r="N372" i="1" s="1"/>
  <c r="N362" i="1"/>
  <c r="N361" i="1" s="1"/>
  <c r="N360" i="1" s="1"/>
  <c r="N353" i="1"/>
  <c r="N352" i="1" s="1"/>
  <c r="N344" i="1"/>
  <c r="N338" i="1"/>
  <c r="N337" i="1" s="1"/>
  <c r="N331" i="1"/>
  <c r="N329" i="1"/>
  <c r="N328" i="1"/>
  <c r="N327" i="1" s="1"/>
  <c r="N326" i="1" s="1"/>
  <c r="N319" i="1"/>
  <c r="N318" i="1" s="1"/>
  <c r="N295" i="1"/>
  <c r="N284" i="1" s="1"/>
  <c r="N281" i="1"/>
  <c r="N276" i="1"/>
  <c r="N275" i="1"/>
  <c r="N274" i="1"/>
  <c r="N273" i="1" s="1"/>
  <c r="N272" i="1"/>
  <c r="N271" i="1"/>
  <c r="N270" i="1" s="1"/>
  <c r="N265" i="1"/>
  <c r="N264" i="1"/>
  <c r="N263" i="1" s="1"/>
  <c r="N262" i="1"/>
  <c r="N261" i="1"/>
  <c r="N260" i="1" s="1"/>
  <c r="N248" i="1"/>
  <c r="N239" i="1" s="1"/>
  <c r="N235" i="1"/>
  <c r="N227" i="1"/>
  <c r="N224" i="1"/>
  <c r="N217" i="1"/>
  <c r="N216" i="1" s="1"/>
  <c r="N212" i="1"/>
  <c r="N211" i="1" s="1"/>
  <c r="N208" i="1"/>
  <c r="N207" i="1" s="1"/>
  <c r="N204" i="1"/>
  <c r="N203" i="1" s="1"/>
  <c r="N200" i="1"/>
  <c r="N199" i="1" s="1"/>
  <c r="N195" i="1"/>
  <c r="N194" i="1" s="1"/>
  <c r="N191" i="1"/>
  <c r="N189" i="1" s="1"/>
  <c r="N169" i="1" s="1"/>
  <c r="N168" i="1" s="1"/>
  <c r="N164" i="1"/>
  <c r="N157" i="1" s="1"/>
  <c r="N160" i="1"/>
  <c r="N152" i="1"/>
  <c r="N146" i="1"/>
  <c r="N145" i="1" s="1"/>
  <c r="N142" i="1" s="1"/>
  <c r="N141" i="1" s="1"/>
  <c r="N130" i="1"/>
  <c r="N129" i="1"/>
  <c r="N128" i="1"/>
  <c r="N127" i="1"/>
  <c r="N121" i="1"/>
  <c r="N96" i="1"/>
  <c r="N95" i="1" s="1"/>
  <c r="N94" i="1" s="1"/>
  <c r="N90" i="1"/>
  <c r="N89" i="1"/>
  <c r="N88" i="1" s="1"/>
  <c r="N86" i="1"/>
  <c r="N83" i="1"/>
  <c r="N82" i="1" s="1"/>
  <c r="N81" i="1" s="1"/>
  <c r="N74" i="1"/>
  <c r="N72" i="1" s="1"/>
  <c r="N71" i="1"/>
  <c r="N70" i="1" s="1"/>
  <c r="N60" i="1"/>
  <c r="N59" i="1" s="1"/>
  <c r="N56" i="1"/>
  <c r="N52" i="1"/>
  <c r="N51" i="1" s="1"/>
  <c r="N35" i="1"/>
  <c r="N19" i="1"/>
  <c r="N14" i="1"/>
  <c r="N12" i="1"/>
  <c r="N11" i="1" s="1"/>
  <c r="G608" i="1" l="1"/>
  <c r="J25" i="1"/>
  <c r="J24" i="1" s="1"/>
  <c r="J9" i="1" s="1"/>
  <c r="N421" i="1"/>
  <c r="J496" i="1"/>
  <c r="N626" i="1"/>
  <c r="N380" i="1"/>
  <c r="N376" i="1" s="1"/>
  <c r="N371" i="1" s="1"/>
  <c r="N506" i="1"/>
  <c r="N330" i="1"/>
  <c r="N541" i="1"/>
  <c r="N540" i="1" s="1"/>
  <c r="M608" i="1"/>
  <c r="M599" i="1" s="1"/>
  <c r="N28" i="1"/>
  <c r="N25" i="1" s="1"/>
  <c r="N24" i="1" s="1"/>
  <c r="N547" i="1"/>
  <c r="N546" i="1" s="1"/>
  <c r="N69" i="1"/>
  <c r="N68" i="1" s="1"/>
  <c r="N494" i="1"/>
  <c r="N493" i="1" s="1"/>
  <c r="N463" i="1" s="1"/>
  <c r="N151" i="1"/>
  <c r="N126" i="1"/>
  <c r="N125" i="1" s="1"/>
  <c r="N391" i="1"/>
  <c r="N615" i="1"/>
  <c r="J608" i="1"/>
  <c r="J599" i="1" s="1"/>
  <c r="N198" i="1"/>
  <c r="N215" i="1"/>
  <c r="N406" i="1"/>
  <c r="N10" i="1"/>
  <c r="N560" i="1"/>
  <c r="N551" i="1" s="1"/>
  <c r="N113" i="1"/>
  <c r="M113" i="1"/>
  <c r="M84" i="1" s="1"/>
  <c r="M67" i="1" s="1"/>
  <c r="N611" i="1"/>
  <c r="N85" i="1"/>
  <c r="N34" i="1"/>
  <c r="N33" i="1" s="1"/>
  <c r="N238" i="1"/>
  <c r="N542" i="1"/>
  <c r="N548" i="1"/>
  <c r="N583" i="1"/>
  <c r="N582" i="1" s="1"/>
  <c r="M25" i="1"/>
  <c r="M24" i="1" s="1"/>
  <c r="M9" i="1" s="1"/>
  <c r="J239" i="1"/>
  <c r="J238" i="1" s="1"/>
  <c r="N259" i="1"/>
  <c r="N258" i="1" s="1"/>
  <c r="N351" i="1"/>
  <c r="N84" i="1" l="1"/>
  <c r="N67" i="1" s="1"/>
  <c r="N536" i="1"/>
  <c r="N497" i="1"/>
  <c r="N496" i="1" s="1"/>
  <c r="N608" i="1"/>
  <c r="N599" i="1" s="1"/>
  <c r="N390" i="1"/>
  <c r="N389" i="1" s="1"/>
  <c r="N9" i="1"/>
  <c r="M8" i="1"/>
  <c r="M658" i="1" s="1"/>
  <c r="M660" i="1" s="1"/>
  <c r="N8" i="1" l="1"/>
  <c r="N658" i="1" s="1"/>
  <c r="E19" i="5" s="1"/>
  <c r="I574" i="2"/>
  <c r="I564" i="2" s="1"/>
  <c r="I563" i="2" s="1"/>
  <c r="I562" i="2" s="1"/>
  <c r="I561" i="2" s="1"/>
  <c r="J485" i="2"/>
  <c r="J484" i="2" s="1"/>
  <c r="P485" i="2"/>
  <c r="P484" i="2" s="1"/>
  <c r="M485" i="2"/>
  <c r="M484" i="2" s="1"/>
  <c r="M483" i="2" s="1"/>
  <c r="M482" i="2" s="1"/>
  <c r="M481" i="2" s="1"/>
  <c r="M480" i="2" s="1"/>
  <c r="M479" i="2" s="1"/>
  <c r="P439" i="2"/>
  <c r="P438" i="2" s="1"/>
  <c r="M439" i="2"/>
  <c r="M438" i="2" s="1"/>
  <c r="M437" i="2" s="1"/>
  <c r="M436" i="2" s="1"/>
  <c r="M435" i="2" s="1"/>
  <c r="M434" i="2" s="1"/>
  <c r="M433" i="2" s="1"/>
  <c r="L445" i="2"/>
  <c r="L444" i="2" s="1"/>
  <c r="L443" i="2" s="1"/>
  <c r="L442" i="2" s="1"/>
  <c r="L441" i="2" s="1"/>
  <c r="L440" i="2" s="1"/>
  <c r="P451" i="2"/>
  <c r="M452" i="2"/>
  <c r="M451" i="2" s="1"/>
  <c r="M230" i="2"/>
  <c r="I229" i="2"/>
  <c r="I207" i="2" s="1"/>
  <c r="I206" i="2" s="1"/>
  <c r="I205" i="2" s="1"/>
  <c r="I204" i="2" s="1"/>
  <c r="K229" i="2"/>
  <c r="L229" i="2"/>
  <c r="O102" i="2"/>
  <c r="O101" i="2" s="1"/>
  <c r="O100" i="2" s="1"/>
  <c r="O59" i="2" s="1"/>
  <c r="L102" i="2"/>
  <c r="L101" i="2" s="1"/>
  <c r="L100" i="2" s="1"/>
  <c r="O911" i="2"/>
  <c r="O910" i="2" s="1"/>
  <c r="O909" i="2" s="1"/>
  <c r="O908" i="2" s="1"/>
  <c r="L911" i="2"/>
  <c r="L910" i="2" s="1"/>
  <c r="L909" i="2" s="1"/>
  <c r="L908" i="2" s="1"/>
  <c r="O273" i="2"/>
  <c r="O272" i="2" s="1"/>
  <c r="L273" i="2"/>
  <c r="L272" i="2" s="1"/>
  <c r="L241" i="2" s="1"/>
  <c r="O883" i="2"/>
  <c r="O880" i="2" s="1"/>
  <c r="O879" i="2" s="1"/>
  <c r="O878" i="2" s="1"/>
  <c r="O877" i="2" s="1"/>
  <c r="O876" i="2" s="1"/>
  <c r="L883" i="2"/>
  <c r="L880" i="2" s="1"/>
  <c r="L879" i="2" s="1"/>
  <c r="L878" i="2" s="1"/>
  <c r="L877" i="2" s="1"/>
  <c r="L876" i="2" s="1"/>
  <c r="O132" i="2"/>
  <c r="O127" i="2" s="1"/>
  <c r="O126" i="2" s="1"/>
  <c r="O125" i="2" s="1"/>
  <c r="O124" i="2" s="1"/>
  <c r="O123" i="2" s="1"/>
  <c r="L132" i="2"/>
  <c r="L127" i="2" s="1"/>
  <c r="L126" i="2" s="1"/>
  <c r="L125" i="2" s="1"/>
  <c r="L124" i="2" s="1"/>
  <c r="L123" i="2" s="1"/>
  <c r="O438" i="2"/>
  <c r="O437" i="2" s="1"/>
  <c r="O436" i="2" s="1"/>
  <c r="O435" i="2" s="1"/>
  <c r="O434" i="2" s="1"/>
  <c r="O433" i="2" s="1"/>
  <c r="O277" i="2" s="1"/>
  <c r="L438" i="2"/>
  <c r="L437" i="2" s="1"/>
  <c r="L436" i="2" s="1"/>
  <c r="L435" i="2" s="1"/>
  <c r="L434" i="2" s="1"/>
  <c r="L433" i="2" s="1"/>
  <c r="N483" i="2"/>
  <c r="N482" i="2" s="1"/>
  <c r="N481" i="2" s="1"/>
  <c r="N480" i="2" s="1"/>
  <c r="N479" i="2" s="1"/>
  <c r="O484" i="2"/>
  <c r="O483" i="2" s="1"/>
  <c r="O482" i="2" s="1"/>
  <c r="O481" i="2" s="1"/>
  <c r="O480" i="2" s="1"/>
  <c r="O479" i="2" s="1"/>
  <c r="O478" i="2" s="1"/>
  <c r="L484" i="2"/>
  <c r="L483" i="2" s="1"/>
  <c r="L482" i="2" s="1"/>
  <c r="L481" i="2" s="1"/>
  <c r="L480" i="2" s="1"/>
  <c r="L479" i="2" s="1"/>
  <c r="L478" i="2" s="1"/>
  <c r="O900" i="2"/>
  <c r="O899" i="2" s="1"/>
  <c r="O898" i="2" s="1"/>
  <c r="L899" i="2"/>
  <c r="L898" i="2" s="1"/>
  <c r="L207" i="2" l="1"/>
  <c r="L206" i="2" s="1"/>
  <c r="L205" i="2" s="1"/>
  <c r="L204" i="2" s="1"/>
  <c r="L171" i="2" s="1"/>
  <c r="O896" i="2"/>
  <c r="O895" i="2" s="1"/>
  <c r="O894" i="2" s="1"/>
  <c r="O893" i="2" s="1"/>
  <c r="O897" i="2"/>
  <c r="L896" i="2"/>
  <c r="L895" i="2" s="1"/>
  <c r="L894" i="2" s="1"/>
  <c r="L893" i="2" s="1"/>
  <c r="L897" i="2"/>
  <c r="O241" i="2"/>
  <c r="O171" i="2" s="1"/>
  <c r="O271" i="2"/>
  <c r="O445" i="2"/>
  <c r="O444" i="2" s="1"/>
  <c r="O443" i="2" s="1"/>
  <c r="O442" i="2" s="1"/>
  <c r="O441" i="2" s="1"/>
  <c r="O440" i="2" s="1"/>
  <c r="O655" i="2"/>
  <c r="O654" i="2" s="1"/>
  <c r="O653" i="2" s="1"/>
  <c r="O652" i="2" s="1"/>
  <c r="O651" i="2" s="1"/>
  <c r="O650" i="2" s="1"/>
  <c r="O533" i="2" s="1"/>
  <c r="O524" i="2" s="1"/>
  <c r="L654" i="2"/>
  <c r="L653" i="2" s="1"/>
  <c r="L652" i="2" s="1"/>
  <c r="L651" i="2" s="1"/>
  <c r="L650" i="2" s="1"/>
  <c r="L533" i="2" s="1"/>
  <c r="L524" i="2" s="1"/>
  <c r="O835" i="2"/>
  <c r="O834" i="2" s="1"/>
  <c r="O833" i="2" s="1"/>
  <c r="O832" i="2" s="1"/>
  <c r="O831" i="2" s="1"/>
  <c r="O830" i="2" s="1"/>
  <c r="O782" i="2" s="1"/>
  <c r="O741" i="2" s="1"/>
  <c r="L834" i="2"/>
  <c r="L833" i="2" s="1"/>
  <c r="L832" i="2" s="1"/>
  <c r="L831" i="2" s="1"/>
  <c r="L830" i="2" s="1"/>
  <c r="L782" i="2" s="1"/>
  <c r="L741" i="2" s="1"/>
  <c r="G28" i="1"/>
  <c r="G25" i="1" s="1"/>
  <c r="G24" i="1" s="1"/>
  <c r="O22" i="2"/>
  <c r="O21" i="2" s="1"/>
  <c r="O20" i="2" s="1"/>
  <c r="O19" i="2" s="1"/>
  <c r="O18" i="2" s="1"/>
  <c r="O17" i="2" s="1"/>
  <c r="L21" i="2"/>
  <c r="L20" i="2" s="1"/>
  <c r="L19" i="2" s="1"/>
  <c r="L18" i="2" s="1"/>
  <c r="L17" i="2" s="1"/>
  <c r="P15" i="2"/>
  <c r="P14" i="2" s="1"/>
  <c r="M15" i="2"/>
  <c r="O15" i="2"/>
  <c r="O14" i="2" s="1"/>
  <c r="O13" i="2" s="1"/>
  <c r="O12" i="2" s="1"/>
  <c r="O11" i="2" s="1"/>
  <c r="O10" i="2" s="1"/>
  <c r="L15" i="2"/>
  <c r="L14" i="2" s="1"/>
  <c r="L13" i="2" s="1"/>
  <c r="L12" i="2" s="1"/>
  <c r="L11" i="2" s="1"/>
  <c r="L10" i="2" s="1"/>
  <c r="P919" i="2"/>
  <c r="P918" i="2" s="1"/>
  <c r="P916" i="2"/>
  <c r="P914" i="2"/>
  <c r="P913" i="2"/>
  <c r="P911" i="2" s="1"/>
  <c r="P906" i="2"/>
  <c r="P905" i="2" s="1"/>
  <c r="P904" i="2" s="1"/>
  <c r="P903" i="2" s="1"/>
  <c r="P902" i="2"/>
  <c r="P900" i="2" s="1"/>
  <c r="P899" i="2" s="1"/>
  <c r="P898" i="2" s="1"/>
  <c r="P889" i="2"/>
  <c r="P888" i="2" s="1"/>
  <c r="P885" i="2"/>
  <c r="P883" i="2" s="1"/>
  <c r="P880" i="2" s="1"/>
  <c r="P875" i="2"/>
  <c r="P874" i="2"/>
  <c r="P873" i="2" s="1"/>
  <c r="P872" i="2" s="1"/>
  <c r="P871" i="2" s="1"/>
  <c r="P870" i="2" s="1"/>
  <c r="P869" i="2" s="1"/>
  <c r="P868" i="2" s="1"/>
  <c r="P866" i="2"/>
  <c r="P865" i="2" s="1"/>
  <c r="P864" i="2" s="1"/>
  <c r="P863" i="2" s="1"/>
  <c r="P862" i="2" s="1"/>
  <c r="P861" i="2" s="1"/>
  <c r="P854" i="2"/>
  <c r="P853" i="2" s="1"/>
  <c r="P852" i="2" s="1"/>
  <c r="P851" i="2" s="1"/>
  <c r="P850" i="2" s="1"/>
  <c r="P849" i="2" s="1"/>
  <c r="P848" i="2" s="1"/>
  <c r="P845" i="2"/>
  <c r="P840" i="2"/>
  <c r="P837" i="2"/>
  <c r="P835" i="2" s="1"/>
  <c r="P834" i="2" s="1"/>
  <c r="P833" i="2" s="1"/>
  <c r="P832" i="2" s="1"/>
  <c r="P811" i="2"/>
  <c r="P805" i="2"/>
  <c r="P800" i="2" s="1"/>
  <c r="P799" i="2"/>
  <c r="P798" i="2"/>
  <c r="P797" i="2" s="1"/>
  <c r="P792" i="2"/>
  <c r="P791" i="2"/>
  <c r="P790" i="2" s="1"/>
  <c r="P789" i="2"/>
  <c r="P788" i="2"/>
  <c r="P787" i="2" s="1"/>
  <c r="P775" i="2"/>
  <c r="P774" i="2" s="1"/>
  <c r="P773" i="2" s="1"/>
  <c r="P770" i="2"/>
  <c r="P769" i="2" s="1"/>
  <c r="P768" i="2" s="1"/>
  <c r="P765" i="2"/>
  <c r="P764" i="2"/>
  <c r="P763" i="2" s="1"/>
  <c r="P762" i="2" s="1"/>
  <c r="P761" i="2" s="1"/>
  <c r="P760" i="2" s="1"/>
  <c r="P759" i="2" s="1"/>
  <c r="P755" i="2"/>
  <c r="P754" i="2" s="1"/>
  <c r="P751" i="2"/>
  <c r="P750" i="2" s="1"/>
  <c r="P747" i="2"/>
  <c r="P746" i="2" s="1"/>
  <c r="P734" i="2"/>
  <c r="P728" i="2"/>
  <c r="P727" i="2" s="1"/>
  <c r="P722" i="2"/>
  <c r="P721" i="2"/>
  <c r="P720" i="2" s="1"/>
  <c r="P713" i="2"/>
  <c r="P712" i="2" s="1"/>
  <c r="P711" i="2" s="1"/>
  <c r="P710" i="2" s="1"/>
  <c r="P709" i="2" s="1"/>
  <c r="P705" i="2"/>
  <c r="P702" i="2"/>
  <c r="P699" i="2"/>
  <c r="P690" i="2"/>
  <c r="P689" i="2" s="1"/>
  <c r="P686" i="2"/>
  <c r="P685" i="2" s="1"/>
  <c r="P678" i="2"/>
  <c r="P677" i="2" s="1"/>
  <c r="P672" i="2"/>
  <c r="P671" i="2" s="1"/>
  <c r="P660" i="2"/>
  <c r="P659" i="2" s="1"/>
  <c r="P657" i="2"/>
  <c r="P655" i="2" s="1"/>
  <c r="P654" i="2" s="1"/>
  <c r="P653" i="2" s="1"/>
  <c r="P652" i="2" s="1"/>
  <c r="P645" i="2"/>
  <c r="P644" i="2" s="1"/>
  <c r="P641" i="2" s="1"/>
  <c r="P640" i="2" s="1"/>
  <c r="P639" i="2" s="1"/>
  <c r="P638" i="2" s="1"/>
  <c r="P637" i="2" s="1"/>
  <c r="P632" i="2"/>
  <c r="P631" i="2"/>
  <c r="P630" i="2"/>
  <c r="P629" i="2"/>
  <c r="P592" i="2"/>
  <c r="P591" i="2" s="1"/>
  <c r="P589" i="2"/>
  <c r="P588" i="2" s="1"/>
  <c r="P587" i="2" s="1"/>
  <c r="P576" i="2"/>
  <c r="P575" i="2" s="1"/>
  <c r="P574" i="2" s="1"/>
  <c r="P570" i="2"/>
  <c r="P569" i="2"/>
  <c r="P568" i="2" s="1"/>
  <c r="P566" i="2"/>
  <c r="P554" i="2"/>
  <c r="P553" i="2" s="1"/>
  <c r="P551" i="2"/>
  <c r="P550" i="2" s="1"/>
  <c r="P549" i="2" s="1"/>
  <c r="P547" i="2"/>
  <c r="P546" i="2" s="1"/>
  <c r="P543" i="2"/>
  <c r="P541" i="2" s="1"/>
  <c r="P540" i="2"/>
  <c r="P539" i="2"/>
  <c r="P530" i="2"/>
  <c r="P529" i="2" s="1"/>
  <c r="P528" i="2" s="1"/>
  <c r="P527" i="2" s="1"/>
  <c r="P526" i="2" s="1"/>
  <c r="P525" i="2" s="1"/>
  <c r="P521" i="2"/>
  <c r="P520" i="2" s="1"/>
  <c r="P519" i="2" s="1"/>
  <c r="P518" i="2" s="1"/>
  <c r="P515" i="2"/>
  <c r="P508" i="2"/>
  <c r="P507" i="2" s="1"/>
  <c r="P499" i="2"/>
  <c r="P498" i="2" s="1"/>
  <c r="P497" i="2" s="1"/>
  <c r="P496" i="2" s="1"/>
  <c r="P494" i="2"/>
  <c r="P493" i="2" s="1"/>
  <c r="P492" i="2" s="1"/>
  <c r="P489" i="2"/>
  <c r="P488" i="2" s="1"/>
  <c r="P483" i="2"/>
  <c r="P482" i="2" s="1"/>
  <c r="P481" i="2" s="1"/>
  <c r="P480" i="2" s="1"/>
  <c r="P479" i="2" s="1"/>
  <c r="P468" i="2"/>
  <c r="P467" i="2" s="1"/>
  <c r="P466" i="2" s="1"/>
  <c r="P465" i="2" s="1"/>
  <c r="P464" i="2" s="1"/>
  <c r="P463" i="2" s="1"/>
  <c r="P458" i="2"/>
  <c r="P457" i="2" s="1"/>
  <c r="P453" i="2"/>
  <c r="P445" i="2" s="1"/>
  <c r="P437" i="2"/>
  <c r="P436" i="2" s="1"/>
  <c r="P435" i="2" s="1"/>
  <c r="P434" i="2" s="1"/>
  <c r="P433" i="2" s="1"/>
  <c r="P426" i="2"/>
  <c r="P425" i="2"/>
  <c r="P424" i="2" s="1"/>
  <c r="P423" i="2"/>
  <c r="P422" i="2"/>
  <c r="P421" i="2"/>
  <c r="P415" i="2"/>
  <c r="P403" i="2"/>
  <c r="P390" i="2"/>
  <c r="P389" i="2" s="1"/>
  <c r="P388" i="2" s="1"/>
  <c r="P382" i="2" s="1"/>
  <c r="P376" i="2"/>
  <c r="P375" i="2" s="1"/>
  <c r="P366" i="2"/>
  <c r="P365" i="2" s="1"/>
  <c r="P364" i="2" s="1"/>
  <c r="P359" i="2"/>
  <c r="P346" i="2"/>
  <c r="P337" i="2"/>
  <c r="P333" i="2"/>
  <c r="P332" i="2" s="1"/>
  <c r="P326" i="2"/>
  <c r="P318" i="2" s="1"/>
  <c r="P307" i="2"/>
  <c r="P306" i="2" s="1"/>
  <c r="P305" i="2" s="1"/>
  <c r="P300" i="2"/>
  <c r="P299" i="2" s="1"/>
  <c r="P298" i="2" s="1"/>
  <c r="P297" i="2" s="1"/>
  <c r="P284" i="2"/>
  <c r="P281" i="2"/>
  <c r="P280" i="2" s="1"/>
  <c r="P275" i="2"/>
  <c r="P273" i="2" s="1"/>
  <c r="P272" i="2" s="1"/>
  <c r="P271" i="2" s="1"/>
  <c r="P268" i="2"/>
  <c r="P264" i="2"/>
  <c r="P260" i="2"/>
  <c r="P252" i="2"/>
  <c r="P251" i="2" s="1"/>
  <c r="P250" i="2" s="1"/>
  <c r="P248" i="2"/>
  <c r="P244" i="2"/>
  <c r="P243" i="2" s="1"/>
  <c r="P239" i="2"/>
  <c r="P238" i="2" s="1"/>
  <c r="P237" i="2" s="1"/>
  <c r="P229" i="2"/>
  <c r="P221" i="2"/>
  <c r="P217" i="2"/>
  <c r="P211" i="2"/>
  <c r="P208" i="2"/>
  <c r="P201" i="2"/>
  <c r="P200" i="2" s="1"/>
  <c r="P199" i="2" s="1"/>
  <c r="P198" i="2" s="1"/>
  <c r="P196" i="2"/>
  <c r="P195" i="2" s="1"/>
  <c r="P194" i="2" s="1"/>
  <c r="P191" i="2"/>
  <c r="P190" i="2" s="1"/>
  <c r="P189" i="2" s="1"/>
  <c r="P188" i="2" s="1"/>
  <c r="P187" i="2"/>
  <c r="P186" i="2"/>
  <c r="P185" i="2"/>
  <c r="P184" i="2"/>
  <c r="P181" i="2"/>
  <c r="P180" i="2"/>
  <c r="P176" i="2"/>
  <c r="P168" i="2"/>
  <c r="P167" i="2" s="1"/>
  <c r="P158" i="2"/>
  <c r="P157" i="2" s="1"/>
  <c r="P156" i="2" s="1"/>
  <c r="P151" i="2"/>
  <c r="P150" i="2" s="1"/>
  <c r="P139" i="2"/>
  <c r="P138" i="2" s="1"/>
  <c r="P137" i="2" s="1"/>
  <c r="P136" i="2" s="1"/>
  <c r="P135" i="2" s="1"/>
  <c r="P132" i="2"/>
  <c r="P127" i="2" s="1"/>
  <c r="P126" i="2" s="1"/>
  <c r="P125" i="2" s="1"/>
  <c r="P124" i="2" s="1"/>
  <c r="P119" i="2"/>
  <c r="P118" i="2" s="1"/>
  <c r="P117" i="2" s="1"/>
  <c r="P116" i="2" s="1"/>
  <c r="P115" i="2" s="1"/>
  <c r="P114" i="2" s="1"/>
  <c r="P112" i="2"/>
  <c r="P110" i="2"/>
  <c r="P107" i="2"/>
  <c r="P102" i="2"/>
  <c r="P91" i="2"/>
  <c r="P90" i="2" s="1"/>
  <c r="P89" i="2" s="1"/>
  <c r="P82" i="2"/>
  <c r="P81" i="2" s="1"/>
  <c r="P77" i="2"/>
  <c r="P76" i="2" s="1"/>
  <c r="P71" i="2"/>
  <c r="P66" i="2"/>
  <c r="P64" i="2"/>
  <c r="P63" i="2" s="1"/>
  <c r="P58" i="2"/>
  <c r="P57" i="2"/>
  <c r="P56" i="2" s="1"/>
  <c r="P55" i="2" s="1"/>
  <c r="P54" i="2" s="1"/>
  <c r="P53" i="2" s="1"/>
  <c r="P52" i="2" s="1"/>
  <c r="P50" i="2"/>
  <c r="P49" i="2" s="1"/>
  <c r="P48" i="2" s="1"/>
  <c r="P44" i="2"/>
  <c r="P43" i="2" s="1"/>
  <c r="P26" i="2"/>
  <c r="P25" i="2" s="1"/>
  <c r="P24" i="2"/>
  <c r="P22" i="2" s="1"/>
  <c r="P21" i="2" s="1"/>
  <c r="P20" i="2" s="1"/>
  <c r="P538" i="2" l="1"/>
  <c r="P910" i="2"/>
  <c r="P909" i="2" s="1"/>
  <c r="P908" i="2" s="1"/>
  <c r="P179" i="2"/>
  <c r="P175" i="2" s="1"/>
  <c r="P174" i="2" s="1"/>
  <c r="P173" i="2" s="1"/>
  <c r="P172" i="2" s="1"/>
  <c r="P628" i="2"/>
  <c r="P627" i="2" s="1"/>
  <c r="P626" i="2" s="1"/>
  <c r="P625" i="2" s="1"/>
  <c r="P624" i="2" s="1"/>
  <c r="P336" i="2"/>
  <c r="P420" i="2"/>
  <c r="P537" i="2"/>
  <c r="P536" i="2" s="1"/>
  <c r="P535" i="2" s="1"/>
  <c r="P534" i="2" s="1"/>
  <c r="P565" i="2"/>
  <c r="P564" i="2" s="1"/>
  <c r="P563" i="2" s="1"/>
  <c r="P562" i="2" s="1"/>
  <c r="P561" i="2" s="1"/>
  <c r="P839" i="2"/>
  <c r="P838" i="2" s="1"/>
  <c r="P831" i="2" s="1"/>
  <c r="P830" i="2" s="1"/>
  <c r="O9" i="2"/>
  <c r="O8" i="2" s="1"/>
  <c r="O922" i="2" s="1"/>
  <c r="P101" i="2"/>
  <c r="P100" i="2" s="1"/>
  <c r="P256" i="2"/>
  <c r="P255" i="2" s="1"/>
  <c r="P242" i="2" s="1"/>
  <c r="P241" i="2" s="1"/>
  <c r="P381" i="2"/>
  <c r="P374" i="2" s="1"/>
  <c r="P719" i="2"/>
  <c r="P718" i="2" s="1"/>
  <c r="P717" i="2" s="1"/>
  <c r="P716" i="2" s="1"/>
  <c r="P19" i="2"/>
  <c r="P18" i="2" s="1"/>
  <c r="P17" i="2" s="1"/>
  <c r="P216" i="2"/>
  <c r="P207" i="2" s="1"/>
  <c r="P206" i="2" s="1"/>
  <c r="P205" i="2" s="1"/>
  <c r="P204" i="2" s="1"/>
  <c r="P317" i="2"/>
  <c r="P316" i="2" s="1"/>
  <c r="P419" i="2"/>
  <c r="P418" i="2" s="1"/>
  <c r="P414" i="2" s="1"/>
  <c r="P444" i="2"/>
  <c r="P443" i="2" s="1"/>
  <c r="P442" i="2" s="1"/>
  <c r="P441" i="2" s="1"/>
  <c r="P440" i="2" s="1"/>
  <c r="P658" i="2"/>
  <c r="P651" i="2" s="1"/>
  <c r="P650" i="2" s="1"/>
  <c r="P698" i="2"/>
  <c r="P697" i="2" s="1"/>
  <c r="P684" i="2" s="1"/>
  <c r="P683" i="2" s="1"/>
  <c r="P682" i="2" s="1"/>
  <c r="P681" i="2" s="1"/>
  <c r="P149" i="2"/>
  <c r="P148" i="2" s="1"/>
  <c r="P147" i="2" s="1"/>
  <c r="P123" i="2" s="1"/>
  <c r="P487" i="2"/>
  <c r="P486" i="2" s="1"/>
  <c r="P786" i="2"/>
  <c r="P785" i="2" s="1"/>
  <c r="P784" i="2" s="1"/>
  <c r="P783" i="2" s="1"/>
  <c r="P62" i="2"/>
  <c r="P61" i="2" s="1"/>
  <c r="P60" i="2" s="1"/>
  <c r="P13" i="2"/>
  <c r="P12" i="2" s="1"/>
  <c r="P11" i="2" s="1"/>
  <c r="P10" i="2" s="1"/>
  <c r="P279" i="2"/>
  <c r="P278" i="2" s="1"/>
  <c r="P506" i="2"/>
  <c r="P505" i="2" s="1"/>
  <c r="P504" i="2" s="1"/>
  <c r="P745" i="2"/>
  <c r="P744" i="2" s="1"/>
  <c r="P743" i="2" s="1"/>
  <c r="P742" i="2" s="1"/>
  <c r="P767" i="2"/>
  <c r="P766" i="2" s="1"/>
  <c r="P758" i="2" s="1"/>
  <c r="P879" i="2"/>
  <c r="P878" i="2" s="1"/>
  <c r="P877" i="2" s="1"/>
  <c r="P876" i="2" s="1"/>
  <c r="P896" i="2"/>
  <c r="P895" i="2" s="1"/>
  <c r="P897" i="2"/>
  <c r="P478" i="2" l="1"/>
  <c r="P59" i="2"/>
  <c r="P9" i="2" s="1"/>
  <c r="P894" i="2"/>
  <c r="P893" i="2" s="1"/>
  <c r="P373" i="2"/>
  <c r="P372" i="2" s="1"/>
  <c r="P315" i="2"/>
  <c r="P314" i="2" s="1"/>
  <c r="P313" i="2" s="1"/>
  <c r="P782" i="2"/>
  <c r="P741" i="2" s="1"/>
  <c r="P171" i="2"/>
  <c r="P533" i="2"/>
  <c r="P524" i="2" s="1"/>
  <c r="P277" i="2" l="1"/>
  <c r="P8" i="2" s="1"/>
  <c r="P922" i="2" s="1"/>
  <c r="I285" i="2" l="1"/>
  <c r="I284" i="2" s="1"/>
  <c r="I279" i="2" s="1"/>
  <c r="I278" i="2" s="1"/>
  <c r="J293" i="2"/>
  <c r="J292" i="2" s="1"/>
  <c r="I484" i="2"/>
  <c r="I483" i="2" s="1"/>
  <c r="I482" i="2" s="1"/>
  <c r="I481" i="2" s="1"/>
  <c r="I480" i="2" s="1"/>
  <c r="I479" i="2" s="1"/>
  <c r="I478" i="2" s="1"/>
  <c r="J438" i="2"/>
  <c r="I438" i="2"/>
  <c r="I437" i="2" s="1"/>
  <c r="I436" i="2" s="1"/>
  <c r="I435" i="2" s="1"/>
  <c r="I434" i="2" s="1"/>
  <c r="I433" i="2" s="1"/>
  <c r="I911" i="2"/>
  <c r="I910" i="2" s="1"/>
  <c r="I900" i="2"/>
  <c r="I899" i="2" s="1"/>
  <c r="I898" i="2" s="1"/>
  <c r="I883" i="2"/>
  <c r="I880" i="2" s="1"/>
  <c r="I879" i="2" s="1"/>
  <c r="I878" i="2" s="1"/>
  <c r="I877" i="2" s="1"/>
  <c r="I876" i="2" s="1"/>
  <c r="I835" i="2"/>
  <c r="I834" i="2" s="1"/>
  <c r="I833" i="2" s="1"/>
  <c r="I832" i="2" s="1"/>
  <c r="I831" i="2" s="1"/>
  <c r="J458" i="2"/>
  <c r="J457" i="2" s="1"/>
  <c r="K458" i="2"/>
  <c r="K457" i="2" s="1"/>
  <c r="M458" i="2"/>
  <c r="M457" i="2" s="1"/>
  <c r="N458" i="2"/>
  <c r="N457" i="2" s="1"/>
  <c r="H458" i="2"/>
  <c r="H457" i="2" s="1"/>
  <c r="F458" i="2"/>
  <c r="L271" i="2"/>
  <c r="I655" i="2"/>
  <c r="I654" i="2" s="1"/>
  <c r="I653" i="2" s="1"/>
  <c r="I652" i="2" s="1"/>
  <c r="I651" i="2" s="1"/>
  <c r="I650" i="2" s="1"/>
  <c r="I533" i="2" s="1"/>
  <c r="I524" i="2" s="1"/>
  <c r="I273" i="2"/>
  <c r="I272" i="2" s="1"/>
  <c r="I132" i="2"/>
  <c r="I127" i="2" s="1"/>
  <c r="I126" i="2" s="1"/>
  <c r="I125" i="2" s="1"/>
  <c r="I124" i="2" s="1"/>
  <c r="I123" i="2" s="1"/>
  <c r="I100" i="2"/>
  <c r="I59" i="2" s="1"/>
  <c r="I22" i="2"/>
  <c r="I21" i="2" s="1"/>
  <c r="I20" i="2" s="1"/>
  <c r="I19" i="2" s="1"/>
  <c r="I18" i="2" s="1"/>
  <c r="I17" i="2" s="1"/>
  <c r="I15" i="2"/>
  <c r="I14" i="2" s="1"/>
  <c r="I13" i="2" s="1"/>
  <c r="I12" i="2" s="1"/>
  <c r="I11" i="2" s="1"/>
  <c r="I10" i="2" s="1"/>
  <c r="J15" i="2"/>
  <c r="K96" i="2"/>
  <c r="K95" i="2" s="1"/>
  <c r="K94" i="2" s="1"/>
  <c r="L285" i="2" l="1"/>
  <c r="L284" i="2" s="1"/>
  <c r="L279" i="2" s="1"/>
  <c r="L278" i="2" s="1"/>
  <c r="I830" i="2"/>
  <c r="I782" i="2" s="1"/>
  <c r="I741" i="2" s="1"/>
  <c r="I896" i="2"/>
  <c r="I895" i="2" s="1"/>
  <c r="I897" i="2"/>
  <c r="I9" i="2"/>
  <c r="I241" i="2"/>
  <c r="I271" i="2"/>
  <c r="I277" i="2"/>
  <c r="K351" i="2"/>
  <c r="M447" i="2"/>
  <c r="K447" i="2"/>
  <c r="I484" i="1"/>
  <c r="H539" i="2"/>
  <c r="H846" i="2"/>
  <c r="H841" i="2"/>
  <c r="H808" i="2"/>
  <c r="H629" i="2"/>
  <c r="H631" i="2"/>
  <c r="H566" i="2"/>
  <c r="H476" i="2"/>
  <c r="H416" i="2"/>
  <c r="H406" i="2"/>
  <c r="H399" i="2"/>
  <c r="H396" i="2"/>
  <c r="H362" i="2"/>
  <c r="H359" i="2" s="1"/>
  <c r="H338" i="2"/>
  <c r="H269" i="2"/>
  <c r="H253" i="2"/>
  <c r="H106" i="2"/>
  <c r="K64" i="2"/>
  <c r="H64" i="2"/>
  <c r="G421" i="1"/>
  <c r="F630" i="1"/>
  <c r="F609" i="1"/>
  <c r="F538" i="1"/>
  <c r="F491" i="1"/>
  <c r="F488" i="1" s="1"/>
  <c r="F471" i="1"/>
  <c r="F465" i="1"/>
  <c r="F464" i="1" s="1"/>
  <c r="F453" i="1"/>
  <c r="F447" i="1" s="1"/>
  <c r="F443" i="1"/>
  <c r="F440" i="1"/>
  <c r="F374" i="1"/>
  <c r="F305" i="1"/>
  <c r="F282" i="1"/>
  <c r="F277" i="1"/>
  <c r="F170" i="1"/>
  <c r="F129" i="1"/>
  <c r="F127" i="1"/>
  <c r="I114" i="1"/>
  <c r="F86" i="1"/>
  <c r="I12" i="1"/>
  <c r="F12" i="1"/>
  <c r="H475" i="2" l="1"/>
  <c r="J476" i="2"/>
  <c r="J339" i="2"/>
  <c r="J338" i="2" s="1"/>
  <c r="G464" i="1"/>
  <c r="H466" i="1"/>
  <c r="H465" i="1" s="1"/>
  <c r="J230" i="2"/>
  <c r="J229" i="2" s="1"/>
  <c r="J416" i="2"/>
  <c r="H474" i="2" l="1"/>
  <c r="H473" i="2" s="1"/>
  <c r="H472" i="2" s="1"/>
  <c r="J475" i="2"/>
  <c r="J474" i="2" s="1"/>
  <c r="J473" i="2" s="1"/>
  <c r="J472" i="2" s="1"/>
  <c r="G519" i="1"/>
  <c r="G497" i="1" s="1"/>
  <c r="G496" i="1" s="1"/>
  <c r="H520" i="1"/>
  <c r="H539" i="1"/>
  <c r="H538" i="1" s="1"/>
  <c r="N64" i="2" l="1"/>
  <c r="M64" i="2"/>
  <c r="L63" i="2"/>
  <c r="L62" i="2" s="1"/>
  <c r="L61" i="2" s="1"/>
  <c r="J253" i="2" l="1"/>
  <c r="H374" i="1" l="1"/>
  <c r="H627" i="1"/>
  <c r="J846" i="2" l="1"/>
  <c r="J841" i="2"/>
  <c r="J840" i="2" s="1"/>
  <c r="H282" i="1"/>
  <c r="H277" i="1"/>
  <c r="L12" i="1" l="1"/>
  <c r="K12" i="1"/>
  <c r="J345" i="2" l="1"/>
  <c r="J304" i="2"/>
  <c r="J407" i="2"/>
  <c r="J406" i="2" s="1"/>
  <c r="H454" i="1"/>
  <c r="H453" i="1" s="1"/>
  <c r="H447" i="1" s="1"/>
  <c r="J567" i="2"/>
  <c r="J566" i="2" s="1"/>
  <c r="H87" i="1"/>
  <c r="G391" i="1" l="1"/>
  <c r="G390" i="1" s="1"/>
  <c r="M293" i="2" l="1"/>
  <c r="M292" i="2" s="1"/>
  <c r="L60" i="2"/>
  <c r="L346" i="2"/>
  <c r="L336" i="2" s="1"/>
  <c r="L315" i="2" s="1"/>
  <c r="L314" i="2" s="1"/>
  <c r="L313" i="2" s="1"/>
  <c r="L277" i="2" s="1"/>
  <c r="J464" i="1"/>
  <c r="K466" i="1"/>
  <c r="M337" i="2"/>
  <c r="M448" i="2"/>
  <c r="K115" i="1"/>
  <c r="K116" i="1"/>
  <c r="M919" i="2"/>
  <c r="M918" i="2" s="1"/>
  <c r="M916" i="2"/>
  <c r="M914" i="2"/>
  <c r="M913" i="2"/>
  <c r="M911" i="2" s="1"/>
  <c r="M906" i="2"/>
  <c r="M905" i="2" s="1"/>
  <c r="M904" i="2" s="1"/>
  <c r="M903" i="2" s="1"/>
  <c r="M889" i="2"/>
  <c r="M888" i="2" s="1"/>
  <c r="M885" i="2"/>
  <c r="M875" i="2"/>
  <c r="M874" i="2"/>
  <c r="M873" i="2" s="1"/>
  <c r="M872" i="2" s="1"/>
  <c r="M871" i="2" s="1"/>
  <c r="M870" i="2" s="1"/>
  <c r="M869" i="2" s="1"/>
  <c r="M868" i="2" s="1"/>
  <c r="M866" i="2"/>
  <c r="M865" i="2" s="1"/>
  <c r="M864" i="2" s="1"/>
  <c r="M863" i="2" s="1"/>
  <c r="M862" i="2" s="1"/>
  <c r="M861" i="2" s="1"/>
  <c r="M854" i="2"/>
  <c r="M853" i="2" s="1"/>
  <c r="M852" i="2" s="1"/>
  <c r="M851" i="2" s="1"/>
  <c r="M850" i="2" s="1"/>
  <c r="M849" i="2" s="1"/>
  <c r="M848" i="2" s="1"/>
  <c r="M845" i="2"/>
  <c r="M840" i="2"/>
  <c r="M811" i="2"/>
  <c r="M799" i="2"/>
  <c r="M798" i="2"/>
  <c r="M797" i="2" s="1"/>
  <c r="M792" i="2"/>
  <c r="M791" i="2"/>
  <c r="M790" i="2" s="1"/>
  <c r="M789" i="2"/>
  <c r="M788" i="2"/>
  <c r="M787" i="2" s="1"/>
  <c r="M775" i="2"/>
  <c r="M774" i="2" s="1"/>
  <c r="M773" i="2" s="1"/>
  <c r="M770" i="2"/>
  <c r="M769" i="2" s="1"/>
  <c r="M768" i="2" s="1"/>
  <c r="M765" i="2"/>
  <c r="M764" i="2"/>
  <c r="M763" i="2" s="1"/>
  <c r="M762" i="2" s="1"/>
  <c r="M761" i="2" s="1"/>
  <c r="M760" i="2" s="1"/>
  <c r="M759" i="2" s="1"/>
  <c r="M755" i="2"/>
  <c r="M754" i="2" s="1"/>
  <c r="M751" i="2"/>
  <c r="M750" i="2" s="1"/>
  <c r="M747" i="2"/>
  <c r="M746" i="2" s="1"/>
  <c r="M734" i="2"/>
  <c r="M729" i="2"/>
  <c r="M728" i="2" s="1"/>
  <c r="M727" i="2" s="1"/>
  <c r="M722" i="2"/>
  <c r="M721" i="2"/>
  <c r="M720" i="2" s="1"/>
  <c r="M713" i="2"/>
  <c r="M712" i="2" s="1"/>
  <c r="M711" i="2" s="1"/>
  <c r="M710" i="2" s="1"/>
  <c r="M709" i="2" s="1"/>
  <c r="M705" i="2"/>
  <c r="M702" i="2"/>
  <c r="M699" i="2"/>
  <c r="M690" i="2"/>
  <c r="M689" i="2" s="1"/>
  <c r="M686" i="2"/>
  <c r="M685" i="2" s="1"/>
  <c r="M678" i="2"/>
  <c r="M677" i="2" s="1"/>
  <c r="M672" i="2"/>
  <c r="M671" i="2" s="1"/>
  <c r="M660" i="2"/>
  <c r="M659" i="2" s="1"/>
  <c r="M655" i="2"/>
  <c r="M654" i="2" s="1"/>
  <c r="M653" i="2" s="1"/>
  <c r="M652" i="2" s="1"/>
  <c r="M645" i="2"/>
  <c r="M644" i="2" s="1"/>
  <c r="M641" i="2" s="1"/>
  <c r="M640" i="2" s="1"/>
  <c r="M639" i="2" s="1"/>
  <c r="M638" i="2" s="1"/>
  <c r="M637" i="2" s="1"/>
  <c r="M632" i="2"/>
  <c r="M631" i="2"/>
  <c r="M630" i="2"/>
  <c r="M629" i="2"/>
  <c r="M628" i="2" s="1"/>
  <c r="M627" i="2" s="1"/>
  <c r="M626" i="2" s="1"/>
  <c r="M625" i="2" s="1"/>
  <c r="M624" i="2" s="1"/>
  <c r="M592" i="2"/>
  <c r="M591" i="2" s="1"/>
  <c r="M589" i="2"/>
  <c r="M588" i="2" s="1"/>
  <c r="M587" i="2" s="1"/>
  <c r="M576" i="2"/>
  <c r="M575" i="2" s="1"/>
  <c r="M574" i="2" s="1"/>
  <c r="M570" i="2"/>
  <c r="M569" i="2"/>
  <c r="M568" i="2" s="1"/>
  <c r="M566" i="2"/>
  <c r="M554" i="2"/>
  <c r="M553" i="2" s="1"/>
  <c r="M551" i="2"/>
  <c r="M550" i="2" s="1"/>
  <c r="M549" i="2" s="1"/>
  <c r="M547" i="2"/>
  <c r="M546" i="2" s="1"/>
  <c r="M543" i="2"/>
  <c r="M541" i="2" s="1"/>
  <c r="M540" i="2"/>
  <c r="M539" i="2"/>
  <c r="M530" i="2"/>
  <c r="M529" i="2" s="1"/>
  <c r="M528" i="2" s="1"/>
  <c r="M527" i="2" s="1"/>
  <c r="M526" i="2" s="1"/>
  <c r="M525" i="2" s="1"/>
  <c r="M521" i="2"/>
  <c r="M520" i="2" s="1"/>
  <c r="M519" i="2" s="1"/>
  <c r="M518" i="2" s="1"/>
  <c r="M515" i="2"/>
  <c r="M508" i="2"/>
  <c r="M507" i="2" s="1"/>
  <c r="M499" i="2"/>
  <c r="M498" i="2" s="1"/>
  <c r="M497" i="2" s="1"/>
  <c r="M496" i="2" s="1"/>
  <c r="M494" i="2"/>
  <c r="M493" i="2" s="1"/>
  <c r="M492" i="2" s="1"/>
  <c r="M489" i="2"/>
  <c r="M488" i="2" s="1"/>
  <c r="M470" i="2"/>
  <c r="M468" i="2" s="1"/>
  <c r="M467" i="2" s="1"/>
  <c r="M466" i="2" s="1"/>
  <c r="M465" i="2" s="1"/>
  <c r="M464" i="2" s="1"/>
  <c r="M463" i="2" s="1"/>
  <c r="M425" i="2"/>
  <c r="M424" i="2" s="1"/>
  <c r="M423" i="2"/>
  <c r="M422" i="2"/>
  <c r="M415" i="2"/>
  <c r="M403" i="2"/>
  <c r="M389" i="2"/>
  <c r="M388" i="2" s="1"/>
  <c r="M376" i="2"/>
  <c r="M375" i="2" s="1"/>
  <c r="M366" i="2"/>
  <c r="M365" i="2" s="1"/>
  <c r="M364" i="2" s="1"/>
  <c r="M359" i="2"/>
  <c r="M349" i="2"/>
  <c r="M346" i="2" s="1"/>
  <c r="M333" i="2"/>
  <c r="M332" i="2" s="1"/>
  <c r="M326" i="2"/>
  <c r="M317" i="2" s="1"/>
  <c r="M316" i="2" s="1"/>
  <c r="M307" i="2"/>
  <c r="M306" i="2" s="1"/>
  <c r="M305" i="2" s="1"/>
  <c r="M300" i="2"/>
  <c r="M299" i="2" s="1"/>
  <c r="M298" i="2" s="1"/>
  <c r="M297" i="2" s="1"/>
  <c r="M281" i="2"/>
  <c r="M280" i="2" s="1"/>
  <c r="M275" i="2"/>
  <c r="M273" i="2" s="1"/>
  <c r="M268" i="2"/>
  <c r="M264" i="2"/>
  <c r="M260" i="2"/>
  <c r="M252" i="2"/>
  <c r="M251" i="2" s="1"/>
  <c r="M250" i="2" s="1"/>
  <c r="M248" i="2"/>
  <c r="M244" i="2"/>
  <c r="M243" i="2" s="1"/>
  <c r="M239" i="2"/>
  <c r="M238" i="2" s="1"/>
  <c r="M237" i="2" s="1"/>
  <c r="M229" i="2"/>
  <c r="M221" i="2"/>
  <c r="M217" i="2"/>
  <c r="M211" i="2"/>
  <c r="M208" i="2"/>
  <c r="M201" i="2"/>
  <c r="M200" i="2" s="1"/>
  <c r="M199" i="2" s="1"/>
  <c r="M198" i="2" s="1"/>
  <c r="M196" i="2"/>
  <c r="M195" i="2" s="1"/>
  <c r="M194" i="2" s="1"/>
  <c r="M191" i="2"/>
  <c r="M190" i="2" s="1"/>
  <c r="M189" i="2" s="1"/>
  <c r="M188" i="2" s="1"/>
  <c r="M187" i="2"/>
  <c r="M186" i="2"/>
  <c r="M185" i="2"/>
  <c r="M184" i="2"/>
  <c r="M181" i="2"/>
  <c r="M180" i="2"/>
  <c r="M176" i="2"/>
  <c r="M168" i="2"/>
  <c r="M167" i="2" s="1"/>
  <c r="M158" i="2"/>
  <c r="M157" i="2" s="1"/>
  <c r="M156" i="2" s="1"/>
  <c r="M151" i="2"/>
  <c r="M150" i="2" s="1"/>
  <c r="M139" i="2"/>
  <c r="M138" i="2" s="1"/>
  <c r="M137" i="2" s="1"/>
  <c r="M136" i="2" s="1"/>
  <c r="M135" i="2" s="1"/>
  <c r="M132" i="2"/>
  <c r="M127" i="2" s="1"/>
  <c r="M126" i="2" s="1"/>
  <c r="M125" i="2" s="1"/>
  <c r="M124" i="2" s="1"/>
  <c r="M120" i="2"/>
  <c r="M119" i="2" s="1"/>
  <c r="M118" i="2" s="1"/>
  <c r="M117" i="2" s="1"/>
  <c r="M116" i="2" s="1"/>
  <c r="M115" i="2" s="1"/>
  <c r="M114" i="2" s="1"/>
  <c r="M112" i="2"/>
  <c r="M110" i="2"/>
  <c r="M107" i="2"/>
  <c r="M102" i="2"/>
  <c r="M91" i="2"/>
  <c r="M90" i="2" s="1"/>
  <c r="M89" i="2" s="1"/>
  <c r="M82" i="2"/>
  <c r="M81" i="2" s="1"/>
  <c r="M77" i="2"/>
  <c r="M76" i="2" s="1"/>
  <c r="M71" i="2"/>
  <c r="M66" i="2"/>
  <c r="M63" i="2"/>
  <c r="M58" i="2"/>
  <c r="M57" i="2"/>
  <c r="M56" i="2" s="1"/>
  <c r="M55" i="2" s="1"/>
  <c r="M54" i="2" s="1"/>
  <c r="M53" i="2" s="1"/>
  <c r="M52" i="2" s="1"/>
  <c r="M50" i="2"/>
  <c r="M49" i="2" s="1"/>
  <c r="M48" i="2" s="1"/>
  <c r="M44" i="2"/>
  <c r="M43" i="2" s="1"/>
  <c r="M26" i="2"/>
  <c r="M25" i="2" s="1"/>
  <c r="M22" i="2"/>
  <c r="M21" i="2" s="1"/>
  <c r="M20" i="2" s="1"/>
  <c r="M14" i="2"/>
  <c r="M13" i="2" s="1"/>
  <c r="M12" i="2" s="1"/>
  <c r="M11" i="2" s="1"/>
  <c r="M10" i="2" s="1"/>
  <c r="K646" i="1"/>
  <c r="K644" i="1"/>
  <c r="K640" i="1"/>
  <c r="K638" i="1"/>
  <c r="K636" i="1"/>
  <c r="K634" i="1"/>
  <c r="K631" i="1"/>
  <c r="K628" i="1"/>
  <c r="K626" i="1" s="1"/>
  <c r="K623" i="1"/>
  <c r="K622" i="1" s="1"/>
  <c r="K620" i="1"/>
  <c r="K618" i="1"/>
  <c r="K617" i="1"/>
  <c r="K615" i="1" s="1"/>
  <c r="K613" i="1"/>
  <c r="K611" i="1" s="1"/>
  <c r="K603" i="1"/>
  <c r="K600" i="1" s="1"/>
  <c r="K596" i="1"/>
  <c r="K591" i="1"/>
  <c r="K587" i="1"/>
  <c r="K576" i="1"/>
  <c r="K575" i="1" s="1"/>
  <c r="K574" i="1" s="1"/>
  <c r="K571" i="1"/>
  <c r="K565" i="1"/>
  <c r="K562" i="1"/>
  <c r="K561" i="1" s="1"/>
  <c r="K557" i="1"/>
  <c r="K552" i="1" s="1"/>
  <c r="K550" i="1"/>
  <c r="K549" i="1"/>
  <c r="K545" i="1"/>
  <c r="K544" i="1"/>
  <c r="K537" i="1"/>
  <c r="K534" i="1"/>
  <c r="K533" i="1" s="1"/>
  <c r="K532" i="1" s="1"/>
  <c r="K529" i="1"/>
  <c r="K528" i="1" s="1"/>
  <c r="K519" i="1"/>
  <c r="K511" i="1"/>
  <c r="K507" i="1"/>
  <c r="K501" i="1"/>
  <c r="K498" i="1"/>
  <c r="K488" i="1"/>
  <c r="K482" i="1"/>
  <c r="K474" i="1"/>
  <c r="K460" i="1"/>
  <c r="K459" i="1" s="1"/>
  <c r="K433" i="1"/>
  <c r="K432" i="1" s="1"/>
  <c r="K415" i="1"/>
  <c r="K407" i="1" s="1"/>
  <c r="K401" i="1"/>
  <c r="K397" i="1"/>
  <c r="K392" i="1"/>
  <c r="K388" i="1"/>
  <c r="K387" i="1"/>
  <c r="K386" i="1"/>
  <c r="K385" i="1"/>
  <c r="K382" i="1"/>
  <c r="K381" i="1"/>
  <c r="K377" i="1"/>
  <c r="K373" i="1"/>
  <c r="K372" i="1" s="1"/>
  <c r="K362" i="1"/>
  <c r="K361" i="1" s="1"/>
  <c r="K360" i="1" s="1"/>
  <c r="K353" i="1"/>
  <c r="K352" i="1" s="1"/>
  <c r="K344" i="1"/>
  <c r="K339" i="1"/>
  <c r="K338" i="1" s="1"/>
  <c r="K337" i="1" s="1"/>
  <c r="K331" i="1"/>
  <c r="K329" i="1"/>
  <c r="K328" i="1"/>
  <c r="K327" i="1" s="1"/>
  <c r="K326" i="1" s="1"/>
  <c r="K319" i="1"/>
  <c r="K318" i="1" s="1"/>
  <c r="K309" i="1"/>
  <c r="K308" i="1" s="1"/>
  <c r="K295" i="1"/>
  <c r="K289" i="1"/>
  <c r="K281" i="1"/>
  <c r="K276" i="1"/>
  <c r="K275" i="1"/>
  <c r="K274" i="1"/>
  <c r="K273" i="1" s="1"/>
  <c r="K272" i="1"/>
  <c r="K271" i="1"/>
  <c r="K270" i="1" s="1"/>
  <c r="K265" i="1"/>
  <c r="K264" i="1"/>
  <c r="K263" i="1" s="1"/>
  <c r="K262" i="1"/>
  <c r="K261" i="1"/>
  <c r="K260" i="1" s="1"/>
  <c r="K248" i="1"/>
  <c r="K239" i="1" s="1"/>
  <c r="K238" i="1" s="1"/>
  <c r="K235" i="1"/>
  <c r="K227" i="1"/>
  <c r="K224" i="1"/>
  <c r="K217" i="1"/>
  <c r="K216" i="1" s="1"/>
  <c r="K212" i="1"/>
  <c r="K211" i="1" s="1"/>
  <c r="K208" i="1"/>
  <c r="K207" i="1" s="1"/>
  <c r="K204" i="1"/>
  <c r="K203" i="1" s="1"/>
  <c r="K200" i="1"/>
  <c r="K199" i="1" s="1"/>
  <c r="K195" i="1"/>
  <c r="K194" i="1" s="1"/>
  <c r="K191" i="1"/>
  <c r="K189" i="1" s="1"/>
  <c r="K169" i="1" s="1"/>
  <c r="K168" i="1" s="1"/>
  <c r="K164" i="1"/>
  <c r="K157" i="1" s="1"/>
  <c r="K160" i="1"/>
  <c r="K152" i="1"/>
  <c r="K146" i="1"/>
  <c r="K145" i="1" s="1"/>
  <c r="K142" i="1" s="1"/>
  <c r="K141" i="1" s="1"/>
  <c r="K130" i="1"/>
  <c r="K129" i="1"/>
  <c r="K128" i="1"/>
  <c r="K127" i="1"/>
  <c r="K96" i="1"/>
  <c r="K95" i="1" s="1"/>
  <c r="K94" i="1" s="1"/>
  <c r="K90" i="1"/>
  <c r="K89" i="1"/>
  <c r="K88" i="1" s="1"/>
  <c r="K86" i="1"/>
  <c r="K83" i="1"/>
  <c r="K82" i="1" s="1"/>
  <c r="K81" i="1" s="1"/>
  <c r="K74" i="1"/>
  <c r="K72" i="1" s="1"/>
  <c r="K71" i="1"/>
  <c r="K70" i="1" s="1"/>
  <c r="K60" i="1"/>
  <c r="K59" i="1" s="1"/>
  <c r="K56" i="1"/>
  <c r="K52" i="1"/>
  <c r="K51" i="1" s="1"/>
  <c r="K35" i="1"/>
  <c r="K28" i="1"/>
  <c r="K25" i="1" s="1"/>
  <c r="K24" i="1" s="1"/>
  <c r="K19" i="1"/>
  <c r="K14" i="1"/>
  <c r="K11" i="1"/>
  <c r="J106" i="2"/>
  <c r="H630" i="1"/>
  <c r="J814" i="2"/>
  <c r="H173" i="1"/>
  <c r="J600" i="2"/>
  <c r="K465" i="1" l="1"/>
  <c r="K464" i="1" s="1"/>
  <c r="K473" i="1"/>
  <c r="M420" i="2"/>
  <c r="K391" i="1"/>
  <c r="M19" i="2"/>
  <c r="M18" i="2" s="1"/>
  <c r="M17" i="2" s="1"/>
  <c r="M910" i="2"/>
  <c r="M909" i="2" s="1"/>
  <c r="M908" i="2" s="1"/>
  <c r="M179" i="2"/>
  <c r="M175" i="2" s="1"/>
  <c r="M174" i="2" s="1"/>
  <c r="M173" i="2" s="1"/>
  <c r="M172" i="2" s="1"/>
  <c r="M62" i="2"/>
  <c r="M61" i="2" s="1"/>
  <c r="M419" i="2"/>
  <c r="M418" i="2" s="1"/>
  <c r="M414" i="2" s="1"/>
  <c r="M101" i="2"/>
  <c r="M100" i="2" s="1"/>
  <c r="K380" i="1"/>
  <c r="K376" i="1" s="1"/>
  <c r="K371" i="1" s="1"/>
  <c r="M285" i="2"/>
  <c r="M284" i="2" s="1"/>
  <c r="M279" i="2" s="1"/>
  <c r="M278" i="2" s="1"/>
  <c r="K608" i="1"/>
  <c r="K599" i="1" s="1"/>
  <c r="L59" i="2"/>
  <c r="L9" i="2" s="1"/>
  <c r="M272" i="2"/>
  <c r="K34" i="1"/>
  <c r="K33" i="1" s="1"/>
  <c r="K69" i="1"/>
  <c r="K68" i="1" s="1"/>
  <c r="K85" i="1"/>
  <c r="K151" i="1"/>
  <c r="K215" i="1"/>
  <c r="K284" i="1"/>
  <c r="K259" i="1" s="1"/>
  <c r="K258" i="1" s="1"/>
  <c r="K406" i="1"/>
  <c r="M698" i="2"/>
  <c r="M697" i="2" s="1"/>
  <c r="M684" i="2" s="1"/>
  <c r="M683" i="2" s="1"/>
  <c r="M682" i="2" s="1"/>
  <c r="M681" i="2" s="1"/>
  <c r="M216" i="2"/>
  <c r="K114" i="1"/>
  <c r="K113" i="1" s="1"/>
  <c r="J463" i="1"/>
  <c r="K541" i="1"/>
  <c r="K540" i="1" s="1"/>
  <c r="K351" i="1"/>
  <c r="K126" i="1"/>
  <c r="K125" i="1" s="1"/>
  <c r="K198" i="1"/>
  <c r="K330" i="1"/>
  <c r="K506" i="1"/>
  <c r="K548" i="1"/>
  <c r="K560" i="1"/>
  <c r="K551" i="1" s="1"/>
  <c r="K583" i="1"/>
  <c r="K582" i="1" s="1"/>
  <c r="M767" i="2"/>
  <c r="M766" i="2" s="1"/>
  <c r="M758" i="2" s="1"/>
  <c r="M835" i="2"/>
  <c r="M834" i="2" s="1"/>
  <c r="M833" i="2" s="1"/>
  <c r="M832" i="2" s="1"/>
  <c r="M839" i="2"/>
  <c r="M838" i="2" s="1"/>
  <c r="K10" i="1"/>
  <c r="M538" i="2"/>
  <c r="M537" i="2" s="1"/>
  <c r="M536" i="2" s="1"/>
  <c r="M535" i="2" s="1"/>
  <c r="M534" i="2" s="1"/>
  <c r="M719" i="2"/>
  <c r="M718" i="2" s="1"/>
  <c r="M717" i="2" s="1"/>
  <c r="M716" i="2" s="1"/>
  <c r="M256" i="2"/>
  <c r="M255" i="2" s="1"/>
  <c r="M242" i="2" s="1"/>
  <c r="M487" i="2"/>
  <c r="M486" i="2" s="1"/>
  <c r="M745" i="2"/>
  <c r="M744" i="2" s="1"/>
  <c r="M743" i="2" s="1"/>
  <c r="M742" i="2" s="1"/>
  <c r="M318" i="2"/>
  <c r="M506" i="2"/>
  <c r="M505" i="2" s="1"/>
  <c r="M504" i="2" s="1"/>
  <c r="M658" i="2"/>
  <c r="M651" i="2" s="1"/>
  <c r="M650" i="2" s="1"/>
  <c r="M786" i="2"/>
  <c r="M785" i="2" s="1"/>
  <c r="M784" i="2" s="1"/>
  <c r="M783" i="2" s="1"/>
  <c r="M565" i="2"/>
  <c r="M564" i="2" s="1"/>
  <c r="M563" i="2" s="1"/>
  <c r="M562" i="2" s="1"/>
  <c r="M561" i="2" s="1"/>
  <c r="M883" i="2"/>
  <c r="M880" i="2" s="1"/>
  <c r="M879" i="2" s="1"/>
  <c r="M878" i="2" s="1"/>
  <c r="M877" i="2" s="1"/>
  <c r="M876" i="2" s="1"/>
  <c r="M900" i="2"/>
  <c r="M446" i="2"/>
  <c r="M445" i="2" s="1"/>
  <c r="M444" i="2" s="1"/>
  <c r="M443" i="2" s="1"/>
  <c r="M442" i="2" s="1"/>
  <c r="M441" i="2" s="1"/>
  <c r="M440" i="2" s="1"/>
  <c r="M149" i="2"/>
  <c r="M148" i="2" s="1"/>
  <c r="M147" i="2" s="1"/>
  <c r="M123" i="2" s="1"/>
  <c r="M336" i="2"/>
  <c r="M315" i="2" s="1"/>
  <c r="M314" i="2" s="1"/>
  <c r="M313" i="2" s="1"/>
  <c r="K547" i="1"/>
  <c r="K546" i="1" s="1"/>
  <c r="K463" i="1" l="1"/>
  <c r="K390" i="1"/>
  <c r="K9" i="1"/>
  <c r="K84" i="1"/>
  <c r="K67" i="1" s="1"/>
  <c r="K497" i="1"/>
  <c r="K496" i="1" s="1"/>
  <c r="M207" i="2"/>
  <c r="M206" i="2" s="1"/>
  <c r="M205" i="2" s="1"/>
  <c r="M204" i="2" s="1"/>
  <c r="J389" i="1"/>
  <c r="J8" i="1" s="1"/>
  <c r="J658" i="1" s="1"/>
  <c r="M478" i="2"/>
  <c r="M241" i="2"/>
  <c r="M271" i="2"/>
  <c r="M899" i="2"/>
  <c r="M898" i="2" s="1"/>
  <c r="M831" i="2"/>
  <c r="M830" i="2" s="1"/>
  <c r="M782" i="2" s="1"/>
  <c r="M741" i="2" s="1"/>
  <c r="M533" i="2"/>
  <c r="M524" i="2" s="1"/>
  <c r="K536" i="1"/>
  <c r="L8" i="2"/>
  <c r="L922" i="2" s="1"/>
  <c r="M60" i="2"/>
  <c r="H127" i="1"/>
  <c r="G94" i="1"/>
  <c r="G85" i="1"/>
  <c r="G68" i="1"/>
  <c r="M171" i="2" l="1"/>
  <c r="M59" i="2"/>
  <c r="M9" i="2" s="1"/>
  <c r="M896" i="2"/>
  <c r="M895" i="2" s="1"/>
  <c r="M894" i="2" s="1"/>
  <c r="M893" i="2" s="1"/>
  <c r="M897" i="2"/>
  <c r="G84" i="1"/>
  <c r="G67" i="1" s="1"/>
  <c r="H293" i="1" l="1"/>
  <c r="H292" i="1" s="1"/>
  <c r="H12" i="1"/>
  <c r="G11" i="1"/>
  <c r="G10" i="1" s="1"/>
  <c r="G9" i="1" s="1"/>
  <c r="J344" i="2"/>
  <c r="H438" i="1"/>
  <c r="H437" i="1" s="1"/>
  <c r="H472" i="1" l="1"/>
  <c r="H471" i="1" l="1"/>
  <c r="H464" i="1" s="1"/>
  <c r="J399" i="2"/>
  <c r="H443" i="1"/>
  <c r="J396" i="2" l="1"/>
  <c r="H440" i="1"/>
  <c r="G463" i="1"/>
  <c r="H492" i="1"/>
  <c r="H491" i="1" s="1"/>
  <c r="H488" i="1" s="1"/>
  <c r="J363" i="2"/>
  <c r="J362" i="2" s="1"/>
  <c r="J359" i="2" s="1"/>
  <c r="H724" i="2"/>
  <c r="J726" i="2"/>
  <c r="J724" i="2" s="1"/>
  <c r="H336" i="1"/>
  <c r="H335" i="1" s="1"/>
  <c r="H616" i="1"/>
  <c r="J912" i="2"/>
  <c r="I909" i="2"/>
  <c r="I908" i="2" s="1"/>
  <c r="I894" i="2" s="1"/>
  <c r="I893" i="2" s="1"/>
  <c r="G596" i="1"/>
  <c r="G583" i="1"/>
  <c r="F587" i="1"/>
  <c r="G599" i="1" l="1"/>
  <c r="G389" i="1"/>
  <c r="G582" i="1"/>
  <c r="I171" i="2"/>
  <c r="I8" i="2" s="1"/>
  <c r="J916" i="2"/>
  <c r="J914" i="2"/>
  <c r="J911" i="2"/>
  <c r="J906" i="2"/>
  <c r="J905" i="2" s="1"/>
  <c r="J904" i="2" s="1"/>
  <c r="J903" i="2" s="1"/>
  <c r="J889" i="2"/>
  <c r="J888" i="2" s="1"/>
  <c r="J885" i="2"/>
  <c r="J875" i="2"/>
  <c r="J874" i="2"/>
  <c r="J873" i="2" s="1"/>
  <c r="J872" i="2" s="1"/>
  <c r="J871" i="2" s="1"/>
  <c r="J870" i="2" s="1"/>
  <c r="J869" i="2" s="1"/>
  <c r="J868" i="2" s="1"/>
  <c r="J866" i="2"/>
  <c r="J865" i="2" s="1"/>
  <c r="J864" i="2" s="1"/>
  <c r="J863" i="2" s="1"/>
  <c r="J862" i="2" s="1"/>
  <c r="J861" i="2" s="1"/>
  <c r="J858" i="2"/>
  <c r="J857" i="2" s="1"/>
  <c r="J845" i="2"/>
  <c r="J828" i="2"/>
  <c r="J827" i="2" s="1"/>
  <c r="J825" i="2"/>
  <c r="J824" i="2" s="1"/>
  <c r="J811" i="2"/>
  <c r="J805" i="2"/>
  <c r="J802" i="2"/>
  <c r="J801" i="2"/>
  <c r="J799" i="2"/>
  <c r="J798" i="2"/>
  <c r="J797" i="2" s="1"/>
  <c r="J789" i="2"/>
  <c r="J788" i="2"/>
  <c r="J787" i="2" s="1"/>
  <c r="J775" i="2"/>
  <c r="J774" i="2" s="1"/>
  <c r="J773" i="2" s="1"/>
  <c r="J770" i="2"/>
  <c r="J769" i="2" s="1"/>
  <c r="J768" i="2" s="1"/>
  <c r="J765" i="2"/>
  <c r="J764" i="2"/>
  <c r="J763" i="2" s="1"/>
  <c r="J762" i="2" s="1"/>
  <c r="J761" i="2" s="1"/>
  <c r="J760" i="2" s="1"/>
  <c r="J759" i="2" s="1"/>
  <c r="J755" i="2"/>
  <c r="J754" i="2" s="1"/>
  <c r="J751" i="2"/>
  <c r="J750" i="2" s="1"/>
  <c r="J747" i="2"/>
  <c r="J746" i="2" s="1"/>
  <c r="J734" i="2"/>
  <c r="J723" i="2"/>
  <c r="J721" i="2"/>
  <c r="J713" i="2"/>
  <c r="J712" i="2" s="1"/>
  <c r="J711" i="2" s="1"/>
  <c r="J710" i="2" s="1"/>
  <c r="J709" i="2" s="1"/>
  <c r="J706" i="2"/>
  <c r="J705" i="2"/>
  <c r="J702" i="2"/>
  <c r="J699" i="2"/>
  <c r="J690" i="2"/>
  <c r="J689" i="2" s="1"/>
  <c r="J686" i="2"/>
  <c r="J685" i="2" s="1"/>
  <c r="J678" i="2"/>
  <c r="J677" i="2" s="1"/>
  <c r="J672" i="2"/>
  <c r="J671" i="2" s="1"/>
  <c r="J660" i="2"/>
  <c r="J659" i="2" s="1"/>
  <c r="J645" i="2"/>
  <c r="J644" i="2" s="1"/>
  <c r="J641" i="2" s="1"/>
  <c r="J640" i="2" s="1"/>
  <c r="J639" i="2" s="1"/>
  <c r="J638" i="2" s="1"/>
  <c r="J637" i="2" s="1"/>
  <c r="J622" i="2"/>
  <c r="J621" i="2" s="1"/>
  <c r="J620" i="2" s="1"/>
  <c r="J616" i="2"/>
  <c r="J615" i="2" s="1"/>
  <c r="J614" i="2" s="1"/>
  <c r="J613" i="2" s="1"/>
  <c r="J612" i="2" s="1"/>
  <c r="J598" i="2"/>
  <c r="J597" i="2"/>
  <c r="J589" i="2"/>
  <c r="J588" i="2" s="1"/>
  <c r="J587" i="2" s="1"/>
  <c r="J570" i="2"/>
  <c r="J569" i="2"/>
  <c r="J568" i="2" s="1"/>
  <c r="J559" i="2"/>
  <c r="J556" i="2"/>
  <c r="J555" i="2"/>
  <c r="J551" i="2"/>
  <c r="J550" i="2" s="1"/>
  <c r="J549" i="2" s="1"/>
  <c r="J547" i="2"/>
  <c r="J546" i="2" s="1"/>
  <c r="J543" i="2"/>
  <c r="J541" i="2" s="1"/>
  <c r="J530" i="2"/>
  <c r="J529" i="2" s="1"/>
  <c r="J528" i="2" s="1"/>
  <c r="J527" i="2" s="1"/>
  <c r="J526" i="2" s="1"/>
  <c r="J525" i="2" s="1"/>
  <c r="J521" i="2"/>
  <c r="J520" i="2" s="1"/>
  <c r="J519" i="2" s="1"/>
  <c r="J518" i="2" s="1"/>
  <c r="J515" i="2"/>
  <c r="J508" i="2"/>
  <c r="J500" i="2"/>
  <c r="J499" i="2" s="1"/>
  <c r="J498" i="2" s="1"/>
  <c r="J497" i="2" s="1"/>
  <c r="J496" i="2" s="1"/>
  <c r="J494" i="2"/>
  <c r="J493" i="2" s="1"/>
  <c r="J492" i="2" s="1"/>
  <c r="J489" i="2"/>
  <c r="J488" i="2" s="1"/>
  <c r="J483" i="2"/>
  <c r="J482" i="2" s="1"/>
  <c r="J481" i="2" s="1"/>
  <c r="J480" i="2" s="1"/>
  <c r="J479" i="2" s="1"/>
  <c r="J470" i="2"/>
  <c r="J468" i="2" s="1"/>
  <c r="J467" i="2" s="1"/>
  <c r="J466" i="2" s="1"/>
  <c r="J465" i="2" s="1"/>
  <c r="J464" i="2" s="1"/>
  <c r="J463" i="2" s="1"/>
  <c r="J437" i="2"/>
  <c r="J436" i="2" s="1"/>
  <c r="J435" i="2" s="1"/>
  <c r="J434" i="2" s="1"/>
  <c r="J433" i="2" s="1"/>
  <c r="J425" i="2"/>
  <c r="J424" i="2" s="1"/>
  <c r="J423" i="2"/>
  <c r="J422" i="2"/>
  <c r="J421" i="2"/>
  <c r="J415" i="2"/>
  <c r="J403" i="2"/>
  <c r="J390" i="2"/>
  <c r="J388" i="2" s="1"/>
  <c r="J384" i="2"/>
  <c r="J383" i="2" s="1"/>
  <c r="J376" i="2"/>
  <c r="J366" i="2"/>
  <c r="J365" i="2" s="1"/>
  <c r="J346" i="2"/>
  <c r="J337" i="2"/>
  <c r="J333" i="2"/>
  <c r="J332" i="2" s="1"/>
  <c r="J327" i="2"/>
  <c r="J326" i="2" s="1"/>
  <c r="J320" i="2"/>
  <c r="J307" i="2"/>
  <c r="J306" i="2" s="1"/>
  <c r="J305" i="2" s="1"/>
  <c r="J301" i="2"/>
  <c r="J300" i="2" s="1"/>
  <c r="J299" i="2" s="1"/>
  <c r="J298" i="2" s="1"/>
  <c r="J297" i="2" s="1"/>
  <c r="J281" i="2"/>
  <c r="J280" i="2" s="1"/>
  <c r="J275" i="2"/>
  <c r="J273" i="2" s="1"/>
  <c r="J272" i="2" s="1"/>
  <c r="J271" i="2" s="1"/>
  <c r="J268" i="2"/>
  <c r="J265" i="2"/>
  <c r="J264" i="2" s="1"/>
  <c r="J260" i="2"/>
  <c r="J259" i="2" s="1"/>
  <c r="J252" i="2"/>
  <c r="J251" i="2" s="1"/>
  <c r="J250" i="2" s="1"/>
  <c r="J225" i="2"/>
  <c r="J221" i="2"/>
  <c r="J218" i="2"/>
  <c r="J217" i="2"/>
  <c r="J211" i="2"/>
  <c r="J208" i="2"/>
  <c r="J201" i="2"/>
  <c r="J200" i="2" s="1"/>
  <c r="J199" i="2" s="1"/>
  <c r="J198" i="2" s="1"/>
  <c r="J196" i="2"/>
  <c r="J195" i="2" s="1"/>
  <c r="J194" i="2" s="1"/>
  <c r="J191" i="2"/>
  <c r="J190" i="2" s="1"/>
  <c r="J189" i="2" s="1"/>
  <c r="J188" i="2" s="1"/>
  <c r="J187" i="2"/>
  <c r="J186" i="2"/>
  <c r="J185" i="2"/>
  <c r="J184" i="2"/>
  <c r="J181" i="2"/>
  <c r="J180" i="2"/>
  <c r="J176" i="2"/>
  <c r="J168" i="2"/>
  <c r="J167" i="2" s="1"/>
  <c r="J158" i="2"/>
  <c r="J157" i="2" s="1"/>
  <c r="J156" i="2" s="1"/>
  <c r="J151" i="2"/>
  <c r="J150" i="2" s="1"/>
  <c r="J139" i="2"/>
  <c r="J138" i="2" s="1"/>
  <c r="J137" i="2" s="1"/>
  <c r="J136" i="2" s="1"/>
  <c r="J135" i="2" s="1"/>
  <c r="J132" i="2"/>
  <c r="J127" i="2" s="1"/>
  <c r="J126" i="2" s="1"/>
  <c r="J125" i="2" s="1"/>
  <c r="J124" i="2" s="1"/>
  <c r="J120" i="2"/>
  <c r="J119" i="2" s="1"/>
  <c r="J118" i="2" s="1"/>
  <c r="J117" i="2" s="1"/>
  <c r="J116" i="2" s="1"/>
  <c r="J115" i="2" s="1"/>
  <c r="J114" i="2" s="1"/>
  <c r="J110" i="2"/>
  <c r="J105" i="2"/>
  <c r="J91" i="2"/>
  <c r="J90" i="2" s="1"/>
  <c r="J89" i="2" s="1"/>
  <c r="J82" i="2"/>
  <c r="J81" i="2" s="1"/>
  <c r="J77" i="2"/>
  <c r="J76" i="2" s="1"/>
  <c r="J71" i="2"/>
  <c r="J68" i="2"/>
  <c r="J67" i="2"/>
  <c r="J66" i="2" s="1"/>
  <c r="J63" i="2"/>
  <c r="J58" i="2"/>
  <c r="J57" i="2"/>
  <c r="J56" i="2" s="1"/>
  <c r="J55" i="2" s="1"/>
  <c r="J54" i="2" s="1"/>
  <c r="J53" i="2" s="1"/>
  <c r="J52" i="2" s="1"/>
  <c r="J50" i="2"/>
  <c r="J49" i="2" s="1"/>
  <c r="J48" i="2" s="1"/>
  <c r="J44" i="2"/>
  <c r="J43" i="2" s="1"/>
  <c r="J26" i="2"/>
  <c r="J25" i="2" s="1"/>
  <c r="J14" i="2"/>
  <c r="J13" i="2" s="1"/>
  <c r="J12" i="2" s="1"/>
  <c r="J11" i="2" s="1"/>
  <c r="J10" i="2" s="1"/>
  <c r="H647" i="1"/>
  <c r="H646" i="1" s="1"/>
  <c r="H644" i="1"/>
  <c r="H640" i="1"/>
  <c r="H638" i="1"/>
  <c r="H636" i="1"/>
  <c r="H634" i="1"/>
  <c r="H620" i="1"/>
  <c r="H618" i="1"/>
  <c r="H615" i="1"/>
  <c r="H613" i="1"/>
  <c r="H611" i="1" s="1"/>
  <c r="H606" i="1"/>
  <c r="H597" i="1"/>
  <c r="H596" i="1" s="1"/>
  <c r="H592" i="1"/>
  <c r="H591" i="1" s="1"/>
  <c r="H587" i="1"/>
  <c r="H586" i="1" s="1"/>
  <c r="H576" i="1"/>
  <c r="H575" i="1" s="1"/>
  <c r="H574" i="1" s="1"/>
  <c r="H571" i="1"/>
  <c r="H565" i="1"/>
  <c r="H561" i="1"/>
  <c r="H557" i="1"/>
  <c r="H552" i="1" s="1"/>
  <c r="H547" i="1"/>
  <c r="H546" i="1" s="1"/>
  <c r="H545" i="1"/>
  <c r="H544" i="1"/>
  <c r="H543" i="1"/>
  <c r="H537" i="1"/>
  <c r="H529" i="1"/>
  <c r="H528" i="1" s="1"/>
  <c r="H519" i="1"/>
  <c r="H511" i="1"/>
  <c r="H507" i="1"/>
  <c r="H501" i="1"/>
  <c r="H498" i="1"/>
  <c r="H477" i="1"/>
  <c r="H474" i="1"/>
  <c r="H473" i="1" s="1"/>
  <c r="H460" i="1"/>
  <c r="H459" i="1" s="1"/>
  <c r="H434" i="1"/>
  <c r="H432" i="1" s="1"/>
  <c r="H428" i="1"/>
  <c r="H424" i="1"/>
  <c r="H416" i="1"/>
  <c r="H415" i="1" s="1"/>
  <c r="H409" i="1"/>
  <c r="H401" i="1"/>
  <c r="H396" i="1"/>
  <c r="H393" i="1" s="1"/>
  <c r="H388" i="1"/>
  <c r="H387" i="1"/>
  <c r="H386" i="1"/>
  <c r="H385" i="1"/>
  <c r="H382" i="1"/>
  <c r="H381" i="1"/>
  <c r="H377" i="1"/>
  <c r="H373" i="1"/>
  <c r="H372" i="1" s="1"/>
  <c r="H362" i="1"/>
  <c r="H361" i="1" s="1"/>
  <c r="H360" i="1" s="1"/>
  <c r="H353" i="1"/>
  <c r="H352" i="1" s="1"/>
  <c r="H344" i="1"/>
  <c r="H339" i="1"/>
  <c r="H338" i="1" s="1"/>
  <c r="H337" i="1" s="1"/>
  <c r="H334" i="1"/>
  <c r="H332" i="1"/>
  <c r="H329" i="1"/>
  <c r="H328" i="1"/>
  <c r="H327" i="1" s="1"/>
  <c r="H326" i="1" s="1"/>
  <c r="H319" i="1"/>
  <c r="H318" i="1" s="1"/>
  <c r="H316" i="1"/>
  <c r="H315" i="1" s="1"/>
  <c r="H313" i="1"/>
  <c r="H312" i="1" s="1"/>
  <c r="H309" i="1"/>
  <c r="H308" i="1" s="1"/>
  <c r="H295" i="1"/>
  <c r="H286" i="1"/>
  <c r="H285" i="1"/>
  <c r="H281" i="1"/>
  <c r="H276" i="1"/>
  <c r="H275" i="1"/>
  <c r="H274" i="1"/>
  <c r="H273" i="1" s="1"/>
  <c r="H272" i="1"/>
  <c r="H271" i="1"/>
  <c r="H270" i="1" s="1"/>
  <c r="H262" i="1"/>
  <c r="H261" i="1"/>
  <c r="H260" i="1" s="1"/>
  <c r="H235" i="1"/>
  <c r="H227" i="1"/>
  <c r="H224" i="1"/>
  <c r="H217" i="1"/>
  <c r="H212" i="1"/>
  <c r="H211" i="1" s="1"/>
  <c r="H208" i="1"/>
  <c r="H207" i="1" s="1"/>
  <c r="H204" i="1"/>
  <c r="H203" i="1" s="1"/>
  <c r="H200" i="1"/>
  <c r="H199" i="1" s="1"/>
  <c r="H195" i="1"/>
  <c r="H194" i="1" s="1"/>
  <c r="H191" i="1"/>
  <c r="H189" i="1" s="1"/>
  <c r="H187" i="1"/>
  <c r="H183" i="1"/>
  <c r="H182" i="1" s="1"/>
  <c r="H180" i="1"/>
  <c r="H171" i="1"/>
  <c r="H170" i="1"/>
  <c r="H165" i="1"/>
  <c r="H164" i="1"/>
  <c r="H157" i="1" s="1"/>
  <c r="H152" i="1"/>
  <c r="H145" i="1"/>
  <c r="H142" i="1" s="1"/>
  <c r="H141" i="1" s="1"/>
  <c r="H111" i="1"/>
  <c r="H82" i="1"/>
  <c r="H81" i="1" s="1"/>
  <c r="H60" i="1"/>
  <c r="H59" i="1" s="1"/>
  <c r="H56" i="1"/>
  <c r="H35" i="1"/>
  <c r="H19" i="1"/>
  <c r="H16" i="1"/>
  <c r="H15" i="1"/>
  <c r="H14" i="1" s="1"/>
  <c r="H11" i="1"/>
  <c r="G592" i="2"/>
  <c r="F187" i="1"/>
  <c r="E187" i="1"/>
  <c r="J382" i="2" l="1"/>
  <c r="J381" i="2" s="1"/>
  <c r="J592" i="2"/>
  <c r="J591" i="2" s="1"/>
  <c r="H463" i="1"/>
  <c r="J364" i="2"/>
  <c r="J216" i="2"/>
  <c r="J207" i="2" s="1"/>
  <c r="G8" i="1"/>
  <c r="G658" i="1" s="1"/>
  <c r="H34" i="1"/>
  <c r="H33" i="1" s="1"/>
  <c r="H423" i="1"/>
  <c r="H541" i="1"/>
  <c r="H540" i="1" s="1"/>
  <c r="H536" i="1" s="1"/>
  <c r="J839" i="2"/>
  <c r="J838" i="2" s="1"/>
  <c r="I922" i="2"/>
  <c r="H151" i="1"/>
  <c r="J179" i="2"/>
  <c r="J175" i="2" s="1"/>
  <c r="J174" i="2" s="1"/>
  <c r="J173" i="2" s="1"/>
  <c r="J172" i="2" s="1"/>
  <c r="H506" i="1"/>
  <c r="H497" i="1" s="1"/>
  <c r="J554" i="2"/>
  <c r="J553" i="2" s="1"/>
  <c r="J698" i="2"/>
  <c r="J697" i="2" s="1"/>
  <c r="J684" i="2" s="1"/>
  <c r="J683" i="2" s="1"/>
  <c r="J682" i="2" s="1"/>
  <c r="J681" i="2" s="1"/>
  <c r="J767" i="2"/>
  <c r="J766" i="2" s="1"/>
  <c r="J758" i="2" s="1"/>
  <c r="J823" i="2"/>
  <c r="J62" i="2"/>
  <c r="J61" i="2" s="1"/>
  <c r="J60" i="2" s="1"/>
  <c r="J419" i="2"/>
  <c r="J418" i="2" s="1"/>
  <c r="J414" i="2" s="1"/>
  <c r="J745" i="2"/>
  <c r="J744" i="2" s="1"/>
  <c r="J743" i="2" s="1"/>
  <c r="J742" i="2" s="1"/>
  <c r="J565" i="2"/>
  <c r="J317" i="2"/>
  <c r="J316" i="2" s="1"/>
  <c r="J336" i="2"/>
  <c r="J375" i="2"/>
  <c r="J720" i="2"/>
  <c r="H10" i="1"/>
  <c r="H560" i="1"/>
  <c r="H551" i="1" s="1"/>
  <c r="H169" i="1"/>
  <c r="H168" i="1" s="1"/>
  <c r="H311" i="1"/>
  <c r="H331" i="1"/>
  <c r="H330" i="1" s="1"/>
  <c r="H380" i="1"/>
  <c r="H376" i="1" s="1"/>
  <c r="H371" i="1" s="1"/>
  <c r="H198" i="1"/>
  <c r="H407" i="1"/>
  <c r="H583" i="1"/>
  <c r="H582" i="1" s="1"/>
  <c r="J149" i="2"/>
  <c r="J148" i="2" s="1"/>
  <c r="J147" i="2" s="1"/>
  <c r="J123" i="2" s="1"/>
  <c r="J256" i="2"/>
  <c r="J255" i="2" s="1"/>
  <c r="J487" i="2"/>
  <c r="J486" i="2" s="1"/>
  <c r="J658" i="2"/>
  <c r="J318" i="2"/>
  <c r="J420" i="2"/>
  <c r="H351" i="1"/>
  <c r="H406" i="1"/>
  <c r="G104" i="2"/>
  <c r="E628" i="1"/>
  <c r="H422" i="1" l="1"/>
  <c r="H421" i="1" s="1"/>
  <c r="J374" i="2"/>
  <c r="J373" i="2" s="1"/>
  <c r="J372" i="2" s="1"/>
  <c r="J315" i="2"/>
  <c r="J314" i="2" s="1"/>
  <c r="J313" i="2" s="1"/>
  <c r="H657" i="2"/>
  <c r="J657" i="2" s="1"/>
  <c r="H837" i="2"/>
  <c r="J837" i="2" s="1"/>
  <c r="J836" i="2"/>
  <c r="J901" i="2"/>
  <c r="H902" i="2"/>
  <c r="J902" i="2" s="1"/>
  <c r="L30" i="1"/>
  <c r="E30" i="1"/>
  <c r="E29" i="1"/>
  <c r="N902" i="2"/>
  <c r="G900" i="2"/>
  <c r="G899" i="2" s="1"/>
  <c r="G898" i="2" s="1"/>
  <c r="G897" i="2" s="1"/>
  <c r="G895" i="2" s="1"/>
  <c r="N837" i="2"/>
  <c r="G835" i="2"/>
  <c r="G834" i="2" s="1"/>
  <c r="G833" i="2" s="1"/>
  <c r="G832" i="2" s="1"/>
  <c r="G831" i="2" s="1"/>
  <c r="G830" i="2" s="1"/>
  <c r="N657" i="2"/>
  <c r="G655" i="2"/>
  <c r="G654" i="2" s="1"/>
  <c r="G653" i="2" s="1"/>
  <c r="G652" i="2" s="1"/>
  <c r="G651" i="2" s="1"/>
  <c r="G650" i="2" s="1"/>
  <c r="N24" i="2"/>
  <c r="G24" i="2"/>
  <c r="G23" i="2"/>
  <c r="J900" i="2" l="1"/>
  <c r="J899" i="2" s="1"/>
  <c r="J898" i="2" s="1"/>
  <c r="J896" i="2" s="1"/>
  <c r="J895" i="2" s="1"/>
  <c r="J655" i="2"/>
  <c r="J654" i="2" s="1"/>
  <c r="J653" i="2" s="1"/>
  <c r="J652" i="2" s="1"/>
  <c r="J651" i="2" s="1"/>
  <c r="J650" i="2" s="1"/>
  <c r="J897" i="2"/>
  <c r="J835" i="2"/>
  <c r="J834" i="2" s="1"/>
  <c r="J833" i="2" s="1"/>
  <c r="J832" i="2" s="1"/>
  <c r="J831" i="2" s="1"/>
  <c r="J830" i="2" s="1"/>
  <c r="I309" i="1"/>
  <c r="I308" i="1" s="1"/>
  <c r="F309" i="1"/>
  <c r="F308" i="1" s="1"/>
  <c r="E309" i="1"/>
  <c r="E308" i="1" s="1"/>
  <c r="K470" i="2"/>
  <c r="K468" i="2" s="1"/>
  <c r="K467" i="2" s="1"/>
  <c r="K466" i="2" s="1"/>
  <c r="K465" i="2" s="1"/>
  <c r="K464" i="2" s="1"/>
  <c r="K463" i="2" s="1"/>
  <c r="N468" i="2"/>
  <c r="N467" i="2" s="1"/>
  <c r="N466" i="2" s="1"/>
  <c r="N465" i="2" s="1"/>
  <c r="N464" i="2" s="1"/>
  <c r="N463" i="2" s="1"/>
  <c r="H470" i="2"/>
  <c r="H468" i="2" s="1"/>
  <c r="H467" i="2" s="1"/>
  <c r="H466" i="2" s="1"/>
  <c r="H465" i="2" s="1"/>
  <c r="H464" i="2" s="1"/>
  <c r="H463" i="2" s="1"/>
  <c r="G470" i="2"/>
  <c r="G468" i="2" s="1"/>
  <c r="G467" i="2" s="1"/>
  <c r="G466" i="2" s="1"/>
  <c r="G465" i="2" s="1"/>
  <c r="G464" i="2" s="1"/>
  <c r="G463" i="2" s="1"/>
  <c r="F470" i="2"/>
  <c r="F468" i="2" s="1"/>
  <c r="F467" i="2" s="1"/>
  <c r="F466" i="2" s="1"/>
  <c r="F465" i="2" s="1"/>
  <c r="F464" i="2" s="1"/>
  <c r="F463" i="2" s="1"/>
  <c r="D308" i="1"/>
  <c r="E114" i="1" l="1"/>
  <c r="F477" i="1" l="1"/>
  <c r="L397" i="1" l="1"/>
  <c r="I397" i="1"/>
  <c r="L248" i="1"/>
  <c r="L239" i="1" s="1"/>
  <c r="I248" i="1"/>
  <c r="I239" i="1" s="1"/>
  <c r="I238" i="1" s="1"/>
  <c r="G447" i="2"/>
  <c r="K248" i="2"/>
  <c r="N248" i="2"/>
  <c r="L474" i="1" l="1"/>
  <c r="L473" i="1" s="1"/>
  <c r="I474" i="1"/>
  <c r="F474" i="1"/>
  <c r="F473" i="1" s="1"/>
  <c r="D474" i="1"/>
  <c r="H500" i="2"/>
  <c r="H499" i="2" s="1"/>
  <c r="H498" i="2" s="1"/>
  <c r="H497" i="2" s="1"/>
  <c r="H496" i="2" s="1"/>
  <c r="G487" i="2" s="1"/>
  <c r="G500" i="2"/>
  <c r="G499" i="2" s="1"/>
  <c r="G498" i="2" s="1"/>
  <c r="G497" i="2" s="1"/>
  <c r="G496" i="2" s="1"/>
  <c r="N499" i="2"/>
  <c r="N498" i="2" s="1"/>
  <c r="N497" i="2" s="1"/>
  <c r="N496" i="2" s="1"/>
  <c r="K499" i="2"/>
  <c r="K498" i="2" s="1"/>
  <c r="K497" i="2" s="1"/>
  <c r="K496" i="2" s="1"/>
  <c r="F498" i="2"/>
  <c r="F497" i="2" s="1"/>
  <c r="F496" i="2" s="1"/>
  <c r="D392" i="1" l="1"/>
  <c r="E397" i="1"/>
  <c r="E392" i="1" s="1"/>
  <c r="H249" i="2"/>
  <c r="G248" i="2"/>
  <c r="G244" i="2" s="1"/>
  <c r="G243" i="2" s="1"/>
  <c r="F248" i="2"/>
  <c r="F244" i="2" s="1"/>
  <c r="E248" i="1"/>
  <c r="D248" i="1"/>
  <c r="F249" i="1"/>
  <c r="F397" i="1" l="1"/>
  <c r="H400" i="1"/>
  <c r="H397" i="1" s="1"/>
  <c r="H392" i="1" s="1"/>
  <c r="H391" i="1" s="1"/>
  <c r="H390" i="1" s="1"/>
  <c r="H389" i="1" s="1"/>
  <c r="H248" i="2"/>
  <c r="H244" i="2" s="1"/>
  <c r="J249" i="2"/>
  <c r="J248" i="2" s="1"/>
  <c r="J244" i="2" s="1"/>
  <c r="J243" i="2" s="1"/>
  <c r="J242" i="2" s="1"/>
  <c r="J241" i="2" s="1"/>
  <c r="F248" i="1"/>
  <c r="H249" i="1"/>
  <c r="H248" i="1" s="1"/>
  <c r="E115" i="1"/>
  <c r="H63" i="2"/>
  <c r="G63" i="2"/>
  <c r="F11" i="1"/>
  <c r="E11" i="1"/>
  <c r="L74" i="1"/>
  <c r="I74" i="1"/>
  <c r="L89" i="1"/>
  <c r="I89" i="1"/>
  <c r="L464" i="1"/>
  <c r="I464" i="1"/>
  <c r="D464" i="1"/>
  <c r="L623" i="1"/>
  <c r="I623" i="1"/>
  <c r="H301" i="2"/>
  <c r="H300" i="2" s="1"/>
  <c r="H299" i="2" s="1"/>
  <c r="H298" i="2" s="1"/>
  <c r="H297" i="2" s="1"/>
  <c r="G301" i="2"/>
  <c r="G300" i="2" s="1"/>
  <c r="G299" i="2" s="1"/>
  <c r="G298" i="2" s="1"/>
  <c r="G297" i="2" s="1"/>
  <c r="E391" i="1"/>
  <c r="F396" i="1"/>
  <c r="F393" i="1" s="1"/>
  <c r="F392" i="1" l="1"/>
  <c r="G486" i="2"/>
  <c r="H622" i="2"/>
  <c r="H621" i="2" s="1"/>
  <c r="H620" i="2" s="1"/>
  <c r="G622" i="2"/>
  <c r="G621" i="2" s="1"/>
  <c r="G620" i="2" s="1"/>
  <c r="F316" i="1"/>
  <c r="F315" i="1" s="1"/>
  <c r="F313" i="1"/>
  <c r="F312" i="1" s="1"/>
  <c r="E316" i="1"/>
  <c r="E315" i="1" s="1"/>
  <c r="E313" i="1"/>
  <c r="E312" i="1" s="1"/>
  <c r="H828" i="2"/>
  <c r="H827" i="2" s="1"/>
  <c r="H825" i="2"/>
  <c r="H824" i="2" s="1"/>
  <c r="G828" i="2"/>
  <c r="G827" i="2" s="1"/>
  <c r="G825" i="2"/>
  <c r="G824" i="2" s="1"/>
  <c r="H823" i="2" l="1"/>
  <c r="E311" i="1"/>
  <c r="F311" i="1"/>
  <c r="G823" i="2"/>
  <c r="N919" i="2"/>
  <c r="K919" i="2"/>
  <c r="N543" i="2"/>
  <c r="K543" i="2"/>
  <c r="N569" i="2"/>
  <c r="K569" i="2"/>
  <c r="G511" i="2"/>
  <c r="G510" i="2" s="1"/>
  <c r="G507" i="2" s="1"/>
  <c r="G506" i="2" s="1"/>
  <c r="E220" i="1"/>
  <c r="E28" i="1"/>
  <c r="E25" i="1" s="1"/>
  <c r="E24" i="1" s="1"/>
  <c r="G22" i="2"/>
  <c r="G21" i="2" s="1"/>
  <c r="G20" i="2" s="1"/>
  <c r="G19" i="2" s="1"/>
  <c r="G18" i="2" s="1"/>
  <c r="G17" i="2" s="1"/>
  <c r="H24" i="2"/>
  <c r="J24" i="2" s="1"/>
  <c r="J820" i="2"/>
  <c r="G819" i="2"/>
  <c r="E303" i="1"/>
  <c r="E284" i="1" s="1"/>
  <c r="J22" i="2" l="1"/>
  <c r="J21" i="2" s="1"/>
  <c r="J20" i="2" s="1"/>
  <c r="J19" i="2" s="1"/>
  <c r="J18" i="2" s="1"/>
  <c r="J17" i="2" s="1"/>
  <c r="H510" i="2"/>
  <c r="J514" i="2"/>
  <c r="J511" i="2" s="1"/>
  <c r="J510" i="2" s="1"/>
  <c r="J507" i="2" s="1"/>
  <c r="J506" i="2" s="1"/>
  <c r="J505" i="2" s="1"/>
  <c r="J504" i="2" s="1"/>
  <c r="J478" i="2" s="1"/>
  <c r="F219" i="1"/>
  <c r="H220" i="1"/>
  <c r="H219" i="1" s="1"/>
  <c r="H216" i="1" s="1"/>
  <c r="H215" i="1" s="1"/>
  <c r="F303" i="1"/>
  <c r="H304" i="1"/>
  <c r="H303" i="1" s="1"/>
  <c r="J819" i="2"/>
  <c r="E219" i="1"/>
  <c r="E216" i="1" s="1"/>
  <c r="E215" i="1" s="1"/>
  <c r="G505" i="2"/>
  <c r="G504" i="2" s="1"/>
  <c r="G478" i="2" s="1"/>
  <c r="F77" i="1"/>
  <c r="H77" i="1" s="1"/>
  <c r="H284" i="1" l="1"/>
  <c r="G579" i="2"/>
  <c r="H102" i="1"/>
  <c r="H101" i="1" s="1"/>
  <c r="E101" i="1"/>
  <c r="G256" i="2"/>
  <c r="G268" i="2"/>
  <c r="F597" i="1"/>
  <c r="E597" i="1"/>
  <c r="E596" i="1" s="1"/>
  <c r="E582" i="1" s="1"/>
  <c r="H579" i="2" l="1"/>
  <c r="J580" i="2"/>
  <c r="J579" i="2" s="1"/>
  <c r="G255" i="2"/>
  <c r="G575" i="2"/>
  <c r="G577" i="2"/>
  <c r="H578" i="2"/>
  <c r="H545" i="2"/>
  <c r="J545" i="2" s="1"/>
  <c r="G544" i="2"/>
  <c r="H544" i="2" s="1"/>
  <c r="J544" i="2" s="1"/>
  <c r="F78" i="1"/>
  <c r="H78" i="1" s="1"/>
  <c r="E99" i="1"/>
  <c r="E94" i="1" s="1"/>
  <c r="F100" i="1"/>
  <c r="F183" i="1"/>
  <c r="F182" i="1" s="1"/>
  <c r="E183" i="1"/>
  <c r="E182" i="1" s="1"/>
  <c r="H96" i="1" l="1"/>
  <c r="H95" i="1" s="1"/>
  <c r="H577" i="2"/>
  <c r="J578" i="2"/>
  <c r="J577" i="2" s="1"/>
  <c r="F99" i="1"/>
  <c r="H100" i="1"/>
  <c r="H99" i="1" s="1"/>
  <c r="G574" i="2"/>
  <c r="G242" i="2"/>
  <c r="G241" i="2" s="1"/>
  <c r="G316" i="2"/>
  <c r="G591" i="2"/>
  <c r="H346" i="2"/>
  <c r="G346" i="2"/>
  <c r="G336" i="2" s="1"/>
  <c r="E421" i="1"/>
  <c r="E390" i="1"/>
  <c r="E473" i="1"/>
  <c r="E463" i="1" s="1"/>
  <c r="F118" i="1"/>
  <c r="E113" i="1"/>
  <c r="G446" i="2"/>
  <c r="G445" i="2" s="1"/>
  <c r="H450" i="2"/>
  <c r="G288" i="2"/>
  <c r="G285" i="2" s="1"/>
  <c r="G284" i="2" s="1"/>
  <c r="H289" i="2"/>
  <c r="J289" i="2" s="1"/>
  <c r="E245" i="1"/>
  <c r="F246" i="1"/>
  <c r="E72" i="1"/>
  <c r="E69" i="1" s="1"/>
  <c r="E68" i="1" s="1"/>
  <c r="E85" i="1"/>
  <c r="H569" i="2"/>
  <c r="G568" i="2"/>
  <c r="G565" i="2" s="1"/>
  <c r="H543" i="2"/>
  <c r="G538" i="2"/>
  <c r="G537" i="2" s="1"/>
  <c r="G910" i="2"/>
  <c r="G909" i="2" s="1"/>
  <c r="G908" i="2" s="1"/>
  <c r="G894" i="2" s="1"/>
  <c r="G893" i="2" s="1"/>
  <c r="E506" i="1"/>
  <c r="H225" i="2"/>
  <c r="G225" i="2"/>
  <c r="G216" i="2" s="1"/>
  <c r="G564" i="2" l="1"/>
  <c r="H94" i="1"/>
  <c r="H118" i="1"/>
  <c r="F115" i="1"/>
  <c r="H447" i="2"/>
  <c r="J450" i="2"/>
  <c r="F245" i="1"/>
  <c r="F239" i="1" s="1"/>
  <c r="H246" i="1"/>
  <c r="H245" i="1" s="1"/>
  <c r="H239" i="1" s="1"/>
  <c r="H238" i="1" s="1"/>
  <c r="G279" i="2"/>
  <c r="G278" i="2" s="1"/>
  <c r="E239" i="1"/>
  <c r="E238" i="1" s="1"/>
  <c r="G563" i="2"/>
  <c r="G562" i="2" s="1"/>
  <c r="G561" i="2" s="1"/>
  <c r="E389" i="1"/>
  <c r="G315" i="2"/>
  <c r="G314" i="2" s="1"/>
  <c r="G313" i="2" s="1"/>
  <c r="H288" i="2"/>
  <c r="J288" i="2" s="1"/>
  <c r="J285" i="2" s="1"/>
  <c r="J284" i="2" s="1"/>
  <c r="J279" i="2" s="1"/>
  <c r="J278" i="2" s="1"/>
  <c r="J277" i="2" s="1"/>
  <c r="G444" i="2"/>
  <c r="G443" i="2" s="1"/>
  <c r="G442" i="2" s="1"/>
  <c r="G441" i="2" s="1"/>
  <c r="G440" i="2" s="1"/>
  <c r="E84" i="1"/>
  <c r="H114" i="1" l="1"/>
  <c r="H113" i="1" s="1"/>
  <c r="H115" i="1"/>
  <c r="J446" i="2"/>
  <c r="J445" i="2" s="1"/>
  <c r="J444" i="2" s="1"/>
  <c r="J443" i="2" s="1"/>
  <c r="J442" i="2" s="1"/>
  <c r="J441" i="2" s="1"/>
  <c r="J440" i="2" s="1"/>
  <c r="J447" i="2"/>
  <c r="G277" i="2"/>
  <c r="F501" i="1"/>
  <c r="E501" i="1"/>
  <c r="E497" i="1" s="1"/>
  <c r="E496" i="1" s="1"/>
  <c r="H211" i="2"/>
  <c r="G211" i="2"/>
  <c r="G207" i="2" s="1"/>
  <c r="G206" i="2" s="1"/>
  <c r="G205" i="2" s="1"/>
  <c r="G204" i="2" s="1"/>
  <c r="G171" i="2" s="1"/>
  <c r="E10" i="1"/>
  <c r="E9" i="1" s="1"/>
  <c r="G62" i="2"/>
  <c r="G61" i="2" s="1"/>
  <c r="G60" i="2" s="1"/>
  <c r="H821" i="2"/>
  <c r="J821" i="2" s="1"/>
  <c r="J800" i="2" s="1"/>
  <c r="G821" i="2"/>
  <c r="G800" i="2" s="1"/>
  <c r="K592" i="2"/>
  <c r="N592" i="2" l="1"/>
  <c r="L191" i="1"/>
  <c r="L189" i="1" s="1"/>
  <c r="L169" i="1" s="1"/>
  <c r="I191" i="1"/>
  <c r="I189" i="1" s="1"/>
  <c r="I169" i="1" s="1"/>
  <c r="F191" i="1"/>
  <c r="F189" i="1" s="1"/>
  <c r="E191" i="1"/>
  <c r="E189" i="1" s="1"/>
  <c r="G786" i="2" l="1"/>
  <c r="G785" i="2" s="1"/>
  <c r="G784" i="2" s="1"/>
  <c r="G783" i="2" s="1"/>
  <c r="G782" i="2" s="1"/>
  <c r="G741" i="2" s="1"/>
  <c r="H559" i="2"/>
  <c r="G559" i="2"/>
  <c r="G554" i="2" s="1"/>
  <c r="G553" i="2" s="1"/>
  <c r="G536" i="2" s="1"/>
  <c r="G535" i="2" s="1"/>
  <c r="G534" i="2" s="1"/>
  <c r="G533" i="2" s="1"/>
  <c r="G524" i="2" s="1"/>
  <c r="F180" i="1"/>
  <c r="F169" i="1" s="1"/>
  <c r="E180" i="1"/>
  <c r="E169" i="1" s="1"/>
  <c r="G102" i="2"/>
  <c r="J104" i="2"/>
  <c r="J102" i="2" s="1"/>
  <c r="G112" i="2"/>
  <c r="H113" i="2"/>
  <c r="J113" i="2" s="1"/>
  <c r="J112" i="2" s="1"/>
  <c r="G883" i="2"/>
  <c r="G880" i="2" s="1"/>
  <c r="G879" i="2" s="1"/>
  <c r="G878" i="2" s="1"/>
  <c r="G877" i="2" s="1"/>
  <c r="G876" i="2" s="1"/>
  <c r="J884" i="2"/>
  <c r="J883" i="2" s="1"/>
  <c r="J880" i="2" s="1"/>
  <c r="J879" i="2" s="1"/>
  <c r="J878" i="2" s="1"/>
  <c r="J877" i="2" s="1"/>
  <c r="J876" i="2" s="1"/>
  <c r="H628" i="1"/>
  <c r="H626" i="1" s="1"/>
  <c r="E626" i="1"/>
  <c r="E646" i="1"/>
  <c r="E603" i="1"/>
  <c r="E600" i="1" s="1"/>
  <c r="H604" i="1"/>
  <c r="H603" i="1" s="1"/>
  <c r="H600" i="1" s="1"/>
  <c r="J101" i="2" l="1"/>
  <c r="J100" i="2" s="1"/>
  <c r="J59" i="2" s="1"/>
  <c r="J9" i="2" s="1"/>
  <c r="E608" i="1"/>
  <c r="E599" i="1" s="1"/>
  <c r="E259" i="1"/>
  <c r="E258" i="1" s="1"/>
  <c r="G101" i="2"/>
  <c r="G100" i="2" s="1"/>
  <c r="G59" i="2" s="1"/>
  <c r="G9" i="2" s="1"/>
  <c r="E168" i="1"/>
  <c r="E67" i="1" s="1"/>
  <c r="G8" i="2" l="1"/>
  <c r="G922" i="2" s="1"/>
  <c r="E8" i="1"/>
  <c r="E658" i="1" s="1"/>
  <c r="F646" i="1"/>
  <c r="F644" i="1"/>
  <c r="F640" i="1"/>
  <c r="F638" i="1"/>
  <c r="F636" i="1"/>
  <c r="F634" i="1"/>
  <c r="F626" i="1"/>
  <c r="F620" i="1"/>
  <c r="F618" i="1"/>
  <c r="F615" i="1"/>
  <c r="F613" i="1"/>
  <c r="F611" i="1" s="1"/>
  <c r="F606" i="1"/>
  <c r="F603" i="1"/>
  <c r="F596" i="1"/>
  <c r="F592" i="1"/>
  <c r="F591" i="1" s="1"/>
  <c r="F586" i="1"/>
  <c r="F576" i="1"/>
  <c r="F575" i="1" s="1"/>
  <c r="F574" i="1" s="1"/>
  <c r="F571" i="1"/>
  <c r="F565" i="1"/>
  <c r="F561" i="1"/>
  <c r="F557" i="1"/>
  <c r="F552" i="1" s="1"/>
  <c r="F547" i="1"/>
  <c r="F546" i="1" s="1"/>
  <c r="F545" i="1"/>
  <c r="F544" i="1"/>
  <c r="F543" i="1"/>
  <c r="F537" i="1"/>
  <c r="F535" i="1"/>
  <c r="F529" i="1"/>
  <c r="F528" i="1" s="1"/>
  <c r="F519" i="1"/>
  <c r="F511" i="1"/>
  <c r="F508" i="1"/>
  <c r="F507" i="1"/>
  <c r="F498" i="1"/>
  <c r="F493" i="1"/>
  <c r="F460" i="1"/>
  <c r="F459" i="1" s="1"/>
  <c r="F434" i="1"/>
  <c r="F432" i="1" s="1"/>
  <c r="F428" i="1"/>
  <c r="F424" i="1"/>
  <c r="F416" i="1"/>
  <c r="F415" i="1" s="1"/>
  <c r="F409" i="1"/>
  <c r="F401" i="1"/>
  <c r="F391" i="1" s="1"/>
  <c r="F388" i="1"/>
  <c r="F387" i="1"/>
  <c r="F386" i="1"/>
  <c r="F385" i="1"/>
  <c r="F382" i="1"/>
  <c r="F381" i="1"/>
  <c r="F377" i="1"/>
  <c r="F373" i="1"/>
  <c r="F372" i="1" s="1"/>
  <c r="F362" i="1"/>
  <c r="F361" i="1" s="1"/>
  <c r="F360" i="1" s="1"/>
  <c r="F353" i="1"/>
  <c r="F352" i="1" s="1"/>
  <c r="F344" i="1"/>
  <c r="F339" i="1"/>
  <c r="F338" i="1" s="1"/>
  <c r="F337" i="1" s="1"/>
  <c r="F334" i="1"/>
  <c r="F332" i="1"/>
  <c r="F329" i="1"/>
  <c r="F328" i="1"/>
  <c r="F327" i="1" s="1"/>
  <c r="F326" i="1" s="1"/>
  <c r="F319" i="1"/>
  <c r="F318" i="1" s="1"/>
  <c r="F295" i="1"/>
  <c r="F286" i="1"/>
  <c r="F285" i="1"/>
  <c r="F281" i="1"/>
  <c r="F276" i="1"/>
  <c r="F275" i="1"/>
  <c r="F274" i="1"/>
  <c r="F273" i="1" s="1"/>
  <c r="F272" i="1"/>
  <c r="F271" i="1"/>
  <c r="F270" i="1" s="1"/>
  <c r="F265" i="1"/>
  <c r="H265" i="1" s="1"/>
  <c r="H264" i="1" s="1"/>
  <c r="H263" i="1" s="1"/>
  <c r="H259" i="1" s="1"/>
  <c r="H258" i="1" s="1"/>
  <c r="F264" i="1"/>
  <c r="F262" i="1"/>
  <c r="F261" i="1"/>
  <c r="F260" i="1" s="1"/>
  <c r="F238" i="1"/>
  <c r="F235" i="1"/>
  <c r="F227" i="1"/>
  <c r="F224" i="1"/>
  <c r="F217" i="1"/>
  <c r="F216" i="1" s="1"/>
  <c r="F212" i="1"/>
  <c r="F211" i="1" s="1"/>
  <c r="F208" i="1"/>
  <c r="F207" i="1" s="1"/>
  <c r="F204" i="1"/>
  <c r="F203" i="1" s="1"/>
  <c r="F200" i="1"/>
  <c r="F199" i="1" s="1"/>
  <c r="F195" i="1"/>
  <c r="F194" i="1" s="1"/>
  <c r="F165" i="1"/>
  <c r="F164" i="1"/>
  <c r="F157" i="1" s="1"/>
  <c r="F152" i="1"/>
  <c r="F145" i="1"/>
  <c r="F142" i="1" s="1"/>
  <c r="F141" i="1" s="1"/>
  <c r="H130" i="1"/>
  <c r="H129" i="1" s="1"/>
  <c r="H126" i="1" s="1"/>
  <c r="H125" i="1" s="1"/>
  <c r="F114" i="1"/>
  <c r="F113" i="1" s="1"/>
  <c r="F111" i="1"/>
  <c r="F95" i="1"/>
  <c r="F90" i="1"/>
  <c r="H90" i="1" s="1"/>
  <c r="H86" i="1"/>
  <c r="F82" i="1"/>
  <c r="F81" i="1" s="1"/>
  <c r="F60" i="1"/>
  <c r="F59" i="1" s="1"/>
  <c r="F56" i="1"/>
  <c r="F35" i="1"/>
  <c r="F19" i="1"/>
  <c r="F16" i="1"/>
  <c r="F15" i="1"/>
  <c r="F14" i="1" s="1"/>
  <c r="H916" i="2"/>
  <c r="H914" i="2"/>
  <c r="H911" i="2"/>
  <c r="H906" i="2"/>
  <c r="H905" i="2" s="1"/>
  <c r="H904" i="2" s="1"/>
  <c r="H903" i="2" s="1"/>
  <c r="H900" i="2"/>
  <c r="H899" i="2" s="1"/>
  <c r="H898" i="2" s="1"/>
  <c r="H889" i="2"/>
  <c r="H888" i="2" s="1"/>
  <c r="H885" i="2"/>
  <c r="H883" i="2" s="1"/>
  <c r="H880" i="2" s="1"/>
  <c r="H875" i="2"/>
  <c r="H874" i="2"/>
  <c r="H873" i="2" s="1"/>
  <c r="H872" i="2" s="1"/>
  <c r="H871" i="2" s="1"/>
  <c r="H870" i="2" s="1"/>
  <c r="H869" i="2" s="1"/>
  <c r="H868" i="2" s="1"/>
  <c r="H866" i="2"/>
  <c r="H865" i="2" s="1"/>
  <c r="H864" i="2" s="1"/>
  <c r="H863" i="2" s="1"/>
  <c r="H862" i="2" s="1"/>
  <c r="H861" i="2" s="1"/>
  <c r="H858" i="2"/>
  <c r="H857" i="2" s="1"/>
  <c r="H854" i="2"/>
  <c r="J854" i="2" s="1"/>
  <c r="J853" i="2" s="1"/>
  <c r="J852" i="2" s="1"/>
  <c r="J851" i="2" s="1"/>
  <c r="J850" i="2" s="1"/>
  <c r="J849" i="2" s="1"/>
  <c r="J848" i="2" s="1"/>
  <c r="H845" i="2"/>
  <c r="H840" i="2"/>
  <c r="H835" i="2"/>
  <c r="H834" i="2" s="1"/>
  <c r="H833" i="2" s="1"/>
  <c r="H832" i="2" s="1"/>
  <c r="H811" i="2"/>
  <c r="H805" i="2"/>
  <c r="H802" i="2"/>
  <c r="H801" i="2"/>
  <c r="H799" i="2"/>
  <c r="H798" i="2"/>
  <c r="H797" i="2" s="1"/>
  <c r="H792" i="2"/>
  <c r="J792" i="2" s="1"/>
  <c r="J791" i="2" s="1"/>
  <c r="J790" i="2" s="1"/>
  <c r="J786" i="2" s="1"/>
  <c r="J785" i="2" s="1"/>
  <c r="J784" i="2" s="1"/>
  <c r="J783" i="2" s="1"/>
  <c r="J782" i="2" s="1"/>
  <c r="H791" i="2"/>
  <c r="H790" i="2" s="1"/>
  <c r="H789" i="2"/>
  <c r="H788" i="2"/>
  <c r="H787" i="2" s="1"/>
  <c r="H775" i="2"/>
  <c r="H774" i="2" s="1"/>
  <c r="H773" i="2" s="1"/>
  <c r="H770" i="2"/>
  <c r="H769" i="2" s="1"/>
  <c r="H768" i="2" s="1"/>
  <c r="H765" i="2"/>
  <c r="H764" i="2"/>
  <c r="H763" i="2" s="1"/>
  <c r="H762" i="2" s="1"/>
  <c r="H761" i="2" s="1"/>
  <c r="H760" i="2" s="1"/>
  <c r="H759" i="2" s="1"/>
  <c r="H755" i="2"/>
  <c r="H754" i="2" s="1"/>
  <c r="H751" i="2"/>
  <c r="H750" i="2" s="1"/>
  <c r="H747" i="2"/>
  <c r="H746" i="2" s="1"/>
  <c r="H734" i="2"/>
  <c r="H731" i="2"/>
  <c r="H723" i="2"/>
  <c r="H721" i="2"/>
  <c r="H713" i="2"/>
  <c r="H712" i="2" s="1"/>
  <c r="H711" i="2" s="1"/>
  <c r="H710" i="2" s="1"/>
  <c r="H709" i="2" s="1"/>
  <c r="H706" i="2"/>
  <c r="H705" i="2"/>
  <c r="H702" i="2"/>
  <c r="H699" i="2"/>
  <c r="H690" i="2"/>
  <c r="H689" i="2" s="1"/>
  <c r="H686" i="2"/>
  <c r="H685" i="2" s="1"/>
  <c r="H678" i="2"/>
  <c r="H677" i="2" s="1"/>
  <c r="H672" i="2"/>
  <c r="H671" i="2" s="1"/>
  <c r="H660" i="2"/>
  <c r="H659" i="2" s="1"/>
  <c r="H655" i="2"/>
  <c r="H654" i="2" s="1"/>
  <c r="H653" i="2" s="1"/>
  <c r="H652" i="2" s="1"/>
  <c r="H645" i="2"/>
  <c r="H644" i="2" s="1"/>
  <c r="H641" i="2" s="1"/>
  <c r="H640" i="2" s="1"/>
  <c r="H639" i="2" s="1"/>
  <c r="H638" i="2" s="1"/>
  <c r="H637" i="2" s="1"/>
  <c r="J632" i="2"/>
  <c r="J631" i="2"/>
  <c r="J630" i="2"/>
  <c r="J629" i="2" s="1"/>
  <c r="H616" i="2"/>
  <c r="H615" i="2" s="1"/>
  <c r="H614" i="2" s="1"/>
  <c r="H613" i="2" s="1"/>
  <c r="H612" i="2" s="1"/>
  <c r="H598" i="2"/>
  <c r="H597" i="2"/>
  <c r="H592" i="2" s="1"/>
  <c r="H589" i="2"/>
  <c r="H588" i="2" s="1"/>
  <c r="H587" i="2" s="1"/>
  <c r="H570" i="2"/>
  <c r="H568" i="2"/>
  <c r="H556" i="2"/>
  <c r="H555" i="2"/>
  <c r="H551" i="2"/>
  <c r="H550" i="2" s="1"/>
  <c r="H549" i="2" s="1"/>
  <c r="H547" i="2"/>
  <c r="H546" i="2" s="1"/>
  <c r="H541" i="2"/>
  <c r="J540" i="2"/>
  <c r="J539" i="2" s="1"/>
  <c r="J538" i="2" s="1"/>
  <c r="J537" i="2" s="1"/>
  <c r="J536" i="2" s="1"/>
  <c r="J535" i="2" s="1"/>
  <c r="J534" i="2" s="1"/>
  <c r="H530" i="2"/>
  <c r="H529" i="2" s="1"/>
  <c r="H528" i="2" s="1"/>
  <c r="H527" i="2" s="1"/>
  <c r="H526" i="2" s="1"/>
  <c r="H525" i="2" s="1"/>
  <c r="H521" i="2"/>
  <c r="H520" i="2" s="1"/>
  <c r="H519" i="2" s="1"/>
  <c r="H518" i="2" s="1"/>
  <c r="H515" i="2"/>
  <c r="H508" i="2"/>
  <c r="H507" i="2" s="1"/>
  <c r="H494" i="2"/>
  <c r="H493" i="2" s="1"/>
  <c r="H492" i="2" s="1"/>
  <c r="H489" i="2"/>
  <c r="H488" i="2" s="1"/>
  <c r="H483" i="2"/>
  <c r="H482" i="2" s="1"/>
  <c r="H481" i="2" s="1"/>
  <c r="H480" i="2" s="1"/>
  <c r="H479" i="2" s="1"/>
  <c r="H446" i="2"/>
  <c r="H437" i="2"/>
  <c r="H436" i="2" s="1"/>
  <c r="H435" i="2" s="1"/>
  <c r="H434" i="2" s="1"/>
  <c r="H433" i="2" s="1"/>
  <c r="H425" i="2"/>
  <c r="H424" i="2" s="1"/>
  <c r="H423" i="2"/>
  <c r="H422" i="2"/>
  <c r="H421" i="2"/>
  <c r="H415" i="2"/>
  <c r="H403" i="2"/>
  <c r="H390" i="2"/>
  <c r="H388" i="2" s="1"/>
  <c r="H384" i="2"/>
  <c r="H383" i="2" s="1"/>
  <c r="H376" i="2"/>
  <c r="H366" i="2"/>
  <c r="H337" i="2"/>
  <c r="H333" i="2"/>
  <c r="H332" i="2" s="1"/>
  <c r="H327" i="2"/>
  <c r="H326" i="2" s="1"/>
  <c r="H320" i="2"/>
  <c r="H307" i="2"/>
  <c r="H306" i="2" s="1"/>
  <c r="H305" i="2" s="1"/>
  <c r="H285" i="2"/>
  <c r="H284" i="2" s="1"/>
  <c r="H281" i="2"/>
  <c r="H280" i="2" s="1"/>
  <c r="H275" i="2"/>
  <c r="H273" i="2" s="1"/>
  <c r="H272" i="2" s="1"/>
  <c r="H271" i="2" s="1"/>
  <c r="H268" i="2"/>
  <c r="H265" i="2"/>
  <c r="H264" i="2" s="1"/>
  <c r="H260" i="2"/>
  <c r="H259" i="2" s="1"/>
  <c r="H252" i="2"/>
  <c r="H251" i="2" s="1"/>
  <c r="H250" i="2" s="1"/>
  <c r="H243" i="2"/>
  <c r="H240" i="2"/>
  <c r="H229" i="2"/>
  <c r="H221" i="2"/>
  <c r="H218" i="2"/>
  <c r="H217" i="2"/>
  <c r="H208" i="2"/>
  <c r="H201" i="2"/>
  <c r="H200" i="2" s="1"/>
  <c r="H199" i="2" s="1"/>
  <c r="H198" i="2" s="1"/>
  <c r="H196" i="2"/>
  <c r="H195" i="2" s="1"/>
  <c r="H194" i="2" s="1"/>
  <c r="H191" i="2"/>
  <c r="H190" i="2" s="1"/>
  <c r="H189" i="2" s="1"/>
  <c r="H188" i="2" s="1"/>
  <c r="H187" i="2"/>
  <c r="H186" i="2"/>
  <c r="H185" i="2"/>
  <c r="H184" i="2"/>
  <c r="H181" i="2"/>
  <c r="H180" i="2"/>
  <c r="H176" i="2"/>
  <c r="H168" i="2"/>
  <c r="H167" i="2" s="1"/>
  <c r="H158" i="2"/>
  <c r="H157" i="2" s="1"/>
  <c r="H156" i="2" s="1"/>
  <c r="H151" i="2"/>
  <c r="H150" i="2" s="1"/>
  <c r="H139" i="2"/>
  <c r="H138" i="2" s="1"/>
  <c r="H137" i="2" s="1"/>
  <c r="H136" i="2" s="1"/>
  <c r="H135" i="2" s="1"/>
  <c r="H132" i="2"/>
  <c r="H127" i="2" s="1"/>
  <c r="H126" i="2" s="1"/>
  <c r="H125" i="2" s="1"/>
  <c r="H124" i="2" s="1"/>
  <c r="H120" i="2"/>
  <c r="H119" i="2" s="1"/>
  <c r="H118" i="2" s="1"/>
  <c r="H117" i="2" s="1"/>
  <c r="H116" i="2" s="1"/>
  <c r="H115" i="2" s="1"/>
  <c r="H114" i="2" s="1"/>
  <c r="H112" i="2"/>
  <c r="H110" i="2"/>
  <c r="H105" i="2"/>
  <c r="H102" i="2" s="1"/>
  <c r="H91" i="2"/>
  <c r="H90" i="2" s="1"/>
  <c r="H89" i="2" s="1"/>
  <c r="H82" i="2"/>
  <c r="H81" i="2" s="1"/>
  <c r="H77" i="2"/>
  <c r="H76" i="2" s="1"/>
  <c r="H71" i="2"/>
  <c r="H68" i="2"/>
  <c r="H67" i="2"/>
  <c r="H66" i="2" s="1"/>
  <c r="H58" i="2"/>
  <c r="H57" i="2"/>
  <c r="H56" i="2" s="1"/>
  <c r="H55" i="2" s="1"/>
  <c r="H54" i="2" s="1"/>
  <c r="H53" i="2" s="1"/>
  <c r="H52" i="2" s="1"/>
  <c r="H50" i="2"/>
  <c r="H49" i="2" s="1"/>
  <c r="H48" i="2" s="1"/>
  <c r="H44" i="2"/>
  <c r="H43" i="2" s="1"/>
  <c r="H26" i="2"/>
  <c r="H25" i="2" s="1"/>
  <c r="H22" i="2"/>
  <c r="H21" i="2" s="1"/>
  <c r="H20" i="2" s="1"/>
  <c r="H14" i="2"/>
  <c r="H13" i="2" s="1"/>
  <c r="H12" i="2" s="1"/>
  <c r="H11" i="2" s="1"/>
  <c r="H10" i="2" s="1"/>
  <c r="N918" i="2"/>
  <c r="K918" i="2"/>
  <c r="F919" i="2"/>
  <c r="N916" i="2"/>
  <c r="K916" i="2"/>
  <c r="F916" i="2"/>
  <c r="N914" i="2"/>
  <c r="K914" i="2"/>
  <c r="F914" i="2"/>
  <c r="N913" i="2"/>
  <c r="N911" i="2" s="1"/>
  <c r="K913" i="2"/>
  <c r="K911" i="2" s="1"/>
  <c r="F911" i="2"/>
  <c r="J741" i="2" l="1"/>
  <c r="H729" i="2"/>
  <c r="H728" i="2" s="1"/>
  <c r="H727" i="2" s="1"/>
  <c r="J731" i="2"/>
  <c r="J729" i="2" s="1"/>
  <c r="J728" i="2" s="1"/>
  <c r="J727" i="2" s="1"/>
  <c r="J719" i="2" s="1"/>
  <c r="J718" i="2" s="1"/>
  <c r="J717" i="2" s="1"/>
  <c r="J716" i="2" s="1"/>
  <c r="F534" i="1"/>
  <c r="F533" i="1" s="1"/>
  <c r="F532" i="1" s="1"/>
  <c r="H535" i="1"/>
  <c r="H534" i="1" s="1"/>
  <c r="H533" i="1" s="1"/>
  <c r="H532" i="1" s="1"/>
  <c r="H496" i="1" s="1"/>
  <c r="H239" i="2"/>
  <c r="H238" i="2" s="1"/>
  <c r="H237" i="2" s="1"/>
  <c r="J240" i="2"/>
  <c r="J239" i="2" s="1"/>
  <c r="J238" i="2" s="1"/>
  <c r="J237" i="2" s="1"/>
  <c r="J206" i="2" s="1"/>
  <c r="J205" i="2" s="1"/>
  <c r="J204" i="2" s="1"/>
  <c r="J171" i="2" s="1"/>
  <c r="J8" i="2" s="1"/>
  <c r="H382" i="2"/>
  <c r="H381" i="2" s="1"/>
  <c r="H365" i="2"/>
  <c r="H364" i="2" s="1"/>
  <c r="H800" i="2"/>
  <c r="H786" i="2" s="1"/>
  <c r="F463" i="1"/>
  <c r="F284" i="1"/>
  <c r="F259" i="1" s="1"/>
  <c r="F258" i="1" s="1"/>
  <c r="N910" i="2"/>
  <c r="N909" i="2" s="1"/>
  <c r="N908" i="2" s="1"/>
  <c r="H101" i="2"/>
  <c r="H100" i="2" s="1"/>
  <c r="J628" i="2"/>
  <c r="J627" i="2" s="1"/>
  <c r="F70" i="1"/>
  <c r="H71" i="1"/>
  <c r="H70" i="1" s="1"/>
  <c r="H698" i="2"/>
  <c r="H697" i="2" s="1"/>
  <c r="H684" i="2" s="1"/>
  <c r="H683" i="2" s="1"/>
  <c r="H682" i="2" s="1"/>
  <c r="H681" i="2" s="1"/>
  <c r="H419" i="2"/>
  <c r="H418" i="2" s="1"/>
  <c r="H414" i="2" s="1"/>
  <c r="H216" i="2"/>
  <c r="H207" i="2" s="1"/>
  <c r="H206" i="2" s="1"/>
  <c r="H205" i="2" s="1"/>
  <c r="H204" i="2" s="1"/>
  <c r="H487" i="2"/>
  <c r="H486" i="2" s="1"/>
  <c r="H839" i="2"/>
  <c r="H838" i="2" s="1"/>
  <c r="H831" i="2" s="1"/>
  <c r="H830" i="2" s="1"/>
  <c r="H279" i="2"/>
  <c r="H278" i="2" s="1"/>
  <c r="H879" i="2"/>
  <c r="H878" i="2" s="1"/>
  <c r="H877" i="2" s="1"/>
  <c r="H876" i="2" s="1"/>
  <c r="H506" i="2"/>
  <c r="H505" i="2" s="1"/>
  <c r="H504" i="2" s="1"/>
  <c r="F34" i="1"/>
  <c r="F33" i="1" s="1"/>
  <c r="F560" i="1"/>
  <c r="F551" i="1" s="1"/>
  <c r="F10" i="1"/>
  <c r="F215" i="1"/>
  <c r="F126" i="1"/>
  <c r="F125" i="1" s="1"/>
  <c r="F407" i="1"/>
  <c r="F94" i="1"/>
  <c r="F506" i="1"/>
  <c r="F497" i="1" s="1"/>
  <c r="F496" i="1" s="1"/>
  <c r="F600" i="1"/>
  <c r="H445" i="2"/>
  <c r="H444" i="2" s="1"/>
  <c r="H443" i="2" s="1"/>
  <c r="H442" i="2" s="1"/>
  <c r="H441" i="2" s="1"/>
  <c r="H440" i="2" s="1"/>
  <c r="H591" i="2"/>
  <c r="H420" i="2"/>
  <c r="F918" i="2"/>
  <c r="F910" i="2" s="1"/>
  <c r="H919" i="2"/>
  <c r="H317" i="2"/>
  <c r="H316" i="2" s="1"/>
  <c r="H336" i="2"/>
  <c r="H628" i="2"/>
  <c r="H627" i="2" s="1"/>
  <c r="H626" i="2" s="1"/>
  <c r="H625" i="2" s="1"/>
  <c r="H624" i="2" s="1"/>
  <c r="F168" i="1"/>
  <c r="F541" i="1"/>
  <c r="F540" i="1" s="1"/>
  <c r="F536" i="1" s="1"/>
  <c r="H565" i="2"/>
  <c r="H538" i="2"/>
  <c r="H537" i="2" s="1"/>
  <c r="H554" i="2"/>
  <c r="H553" i="2" s="1"/>
  <c r="H62" i="2"/>
  <c r="H61" i="2" s="1"/>
  <c r="H60" i="2" s="1"/>
  <c r="H179" i="2"/>
  <c r="H175" i="2" s="1"/>
  <c r="H174" i="2" s="1"/>
  <c r="H173" i="2" s="1"/>
  <c r="H172" i="2" s="1"/>
  <c r="H149" i="2"/>
  <c r="H148" i="2" s="1"/>
  <c r="H147" i="2" s="1"/>
  <c r="H123" i="2" s="1"/>
  <c r="H658" i="2"/>
  <c r="H651" i="2" s="1"/>
  <c r="H650" i="2" s="1"/>
  <c r="F151" i="1"/>
  <c r="F351" i="1"/>
  <c r="F406" i="1"/>
  <c r="F390" i="1" s="1"/>
  <c r="F423" i="1"/>
  <c r="F422" i="1" s="1"/>
  <c r="F331" i="1"/>
  <c r="F330" i="1" s="1"/>
  <c r="F380" i="1"/>
  <c r="F376" i="1" s="1"/>
  <c r="F371" i="1" s="1"/>
  <c r="F583" i="1"/>
  <c r="F582" i="1" s="1"/>
  <c r="F198" i="1"/>
  <c r="H256" i="2"/>
  <c r="H255" i="2" s="1"/>
  <c r="H242" i="2" s="1"/>
  <c r="H241" i="2" s="1"/>
  <c r="H745" i="2"/>
  <c r="H744" i="2" s="1"/>
  <c r="H743" i="2" s="1"/>
  <c r="H742" i="2" s="1"/>
  <c r="H897" i="2"/>
  <c r="H896" i="2"/>
  <c r="H895" i="2" s="1"/>
  <c r="H375" i="2"/>
  <c r="H19" i="2"/>
  <c r="H18" i="2" s="1"/>
  <c r="H17" i="2" s="1"/>
  <c r="H720" i="2"/>
  <c r="H767" i="2"/>
  <c r="H766" i="2" s="1"/>
  <c r="H758" i="2" s="1"/>
  <c r="H853" i="2"/>
  <c r="H852" i="2" s="1"/>
  <c r="H851" i="2" s="1"/>
  <c r="H850" i="2" s="1"/>
  <c r="H849" i="2" s="1"/>
  <c r="H848" i="2" s="1"/>
  <c r="H318" i="2"/>
  <c r="K910" i="2"/>
  <c r="I56" i="1"/>
  <c r="L56" i="1"/>
  <c r="I35" i="1"/>
  <c r="L35" i="1"/>
  <c r="D35" i="1"/>
  <c r="H719" i="2" l="1"/>
  <c r="H718" i="2" s="1"/>
  <c r="H717" i="2" s="1"/>
  <c r="H716" i="2" s="1"/>
  <c r="J626" i="2"/>
  <c r="J625" i="2" s="1"/>
  <c r="J624" i="2" s="1"/>
  <c r="F421" i="1"/>
  <c r="F389" i="1" s="1"/>
  <c r="H374" i="2"/>
  <c r="H373" i="2" s="1"/>
  <c r="H372" i="2" s="1"/>
  <c r="H785" i="2"/>
  <c r="H784" i="2" s="1"/>
  <c r="H783" i="2" s="1"/>
  <c r="H782" i="2" s="1"/>
  <c r="H741" i="2" s="1"/>
  <c r="H918" i="2"/>
  <c r="H910" i="2" s="1"/>
  <c r="H909" i="2" s="1"/>
  <c r="H908" i="2" s="1"/>
  <c r="H894" i="2" s="1"/>
  <c r="H893" i="2" s="1"/>
  <c r="J919" i="2"/>
  <c r="J918" i="2" s="1"/>
  <c r="H478" i="2"/>
  <c r="H315" i="2"/>
  <c r="H314" i="2" s="1"/>
  <c r="H313" i="2" s="1"/>
  <c r="H59" i="2"/>
  <c r="H9" i="2" s="1"/>
  <c r="H536" i="2"/>
  <c r="H535" i="2" s="1"/>
  <c r="H534" i="2" s="1"/>
  <c r="H171" i="2"/>
  <c r="N426" i="2"/>
  <c r="N390" i="2"/>
  <c r="N389" i="2" s="1"/>
  <c r="N388" i="2" s="1"/>
  <c r="K389" i="2"/>
  <c r="K388" i="2" s="1"/>
  <c r="N568" i="2"/>
  <c r="K568" i="2"/>
  <c r="F569" i="2"/>
  <c r="F568" i="2" s="1"/>
  <c r="L88" i="1"/>
  <c r="I88" i="1"/>
  <c r="D89" i="1"/>
  <c r="N541" i="2"/>
  <c r="K541" i="2"/>
  <c r="F543" i="2"/>
  <c r="F541" i="2" s="1"/>
  <c r="L72" i="1"/>
  <c r="I72" i="1"/>
  <c r="D74" i="1"/>
  <c r="D623" i="1"/>
  <c r="F623" i="1" s="1"/>
  <c r="J910" i="2" l="1"/>
  <c r="J909" i="2" s="1"/>
  <c r="J908" i="2" s="1"/>
  <c r="J894" i="2" s="1"/>
  <c r="J893" i="2" s="1"/>
  <c r="K393" i="2"/>
  <c r="K382" i="2" s="1"/>
  <c r="M394" i="2"/>
  <c r="M393" i="2" s="1"/>
  <c r="M382" i="2" s="1"/>
  <c r="M381" i="2" s="1"/>
  <c r="M374" i="2" s="1"/>
  <c r="M373" i="2" s="1"/>
  <c r="M372" i="2" s="1"/>
  <c r="M277" i="2" s="1"/>
  <c r="M8" i="2" s="1"/>
  <c r="M922" i="2" s="1"/>
  <c r="H277" i="2"/>
  <c r="H8" i="2" s="1"/>
  <c r="F622" i="1"/>
  <c r="F608" i="1" s="1"/>
  <c r="H623" i="1"/>
  <c r="H622" i="1" s="1"/>
  <c r="H608" i="1" s="1"/>
  <c r="D88" i="1"/>
  <c r="F89" i="1"/>
  <c r="D72" i="1"/>
  <c r="F74" i="1"/>
  <c r="D606" i="1"/>
  <c r="F722" i="2"/>
  <c r="F721" i="2" s="1"/>
  <c r="D332" i="1"/>
  <c r="F599" i="1" l="1"/>
  <c r="H599" i="1"/>
  <c r="F88" i="1"/>
  <c r="F85" i="1" s="1"/>
  <c r="F84" i="1" s="1"/>
  <c r="H89" i="1"/>
  <c r="H88" i="1" s="1"/>
  <c r="H85" i="1" s="1"/>
  <c r="H84" i="1" s="1"/>
  <c r="F72" i="1"/>
  <c r="F69" i="1" s="1"/>
  <c r="F68" i="1" s="1"/>
  <c r="H74" i="1"/>
  <c r="H72" i="1" s="1"/>
  <c r="L434" i="1"/>
  <c r="L433" i="1" s="1"/>
  <c r="L432" i="1" s="1"/>
  <c r="I433" i="1"/>
  <c r="I432" i="1" s="1"/>
  <c r="L628" i="1"/>
  <c r="I628" i="1"/>
  <c r="L160" i="1"/>
  <c r="I160" i="1"/>
  <c r="F132" i="2"/>
  <c r="N139" i="2"/>
  <c r="K139" i="2"/>
  <c r="K138" i="2" s="1"/>
  <c r="F139" i="2"/>
  <c r="L562" i="1"/>
  <c r="L561" i="1" s="1"/>
  <c r="I562" i="1"/>
  <c r="I561" i="1" s="1"/>
  <c r="D561" i="1"/>
  <c r="N645" i="2"/>
  <c r="N644" i="2" s="1"/>
  <c r="K645" i="2"/>
  <c r="K644" i="2" s="1"/>
  <c r="F645" i="2"/>
  <c r="F644" i="2" s="1"/>
  <c r="L146" i="1"/>
  <c r="L145" i="1" s="1"/>
  <c r="I146" i="1"/>
  <c r="I145" i="1" s="1"/>
  <c r="N547" i="2"/>
  <c r="K547" i="2"/>
  <c r="F547" i="2"/>
  <c r="L83" i="1"/>
  <c r="L82" i="1" s="1"/>
  <c r="I83" i="1"/>
  <c r="I82" i="1" s="1"/>
  <c r="D82" i="1"/>
  <c r="N576" i="2"/>
  <c r="N575" i="2" s="1"/>
  <c r="K576" i="2"/>
  <c r="K575" i="2" s="1"/>
  <c r="K574" i="2" s="1"/>
  <c r="F576" i="2"/>
  <c r="L96" i="1"/>
  <c r="L95" i="1" s="1"/>
  <c r="L94" i="1" s="1"/>
  <c r="I96" i="1"/>
  <c r="I95" i="1" s="1"/>
  <c r="H69" i="1" l="1"/>
  <c r="H68" i="1" s="1"/>
  <c r="H67" i="1" s="1"/>
  <c r="I437" i="1"/>
  <c r="K438" i="1"/>
  <c r="K437" i="1" s="1"/>
  <c r="K422" i="1" s="1"/>
  <c r="K421" i="1" s="1"/>
  <c r="K389" i="1" s="1"/>
  <c r="K8" i="1" s="1"/>
  <c r="K658" i="1" s="1"/>
  <c r="D19" i="5" s="1"/>
  <c r="F67" i="1"/>
  <c r="F575" i="2"/>
  <c r="F574" i="2" s="1"/>
  <c r="F105" i="2"/>
  <c r="L545" i="1"/>
  <c r="I545" i="1"/>
  <c r="D545" i="1"/>
  <c r="L544" i="1"/>
  <c r="I544" i="1"/>
  <c r="D544" i="1"/>
  <c r="L543" i="1"/>
  <c r="D543" i="1"/>
  <c r="N421" i="2"/>
  <c r="N422" i="2"/>
  <c r="N423" i="2"/>
  <c r="K422" i="2"/>
  <c r="K423" i="2"/>
  <c r="F421" i="2"/>
  <c r="F422" i="2"/>
  <c r="F423" i="2"/>
  <c r="L549" i="1"/>
  <c r="L550" i="1"/>
  <c r="I549" i="1"/>
  <c r="I550" i="1"/>
  <c r="N885" i="2"/>
  <c r="K885" i="2"/>
  <c r="F885" i="2"/>
  <c r="F265" i="2"/>
  <c r="F264" i="2" s="1"/>
  <c r="N132" i="2"/>
  <c r="N127" i="2" s="1"/>
  <c r="N126" i="2" s="1"/>
  <c r="N125" i="2" s="1"/>
  <c r="N124" i="2" s="1"/>
  <c r="K132" i="2"/>
  <c r="K127" i="2" s="1"/>
  <c r="K349" i="2"/>
  <c r="F616" i="2"/>
  <c r="F615" i="2" s="1"/>
  <c r="F614" i="2" s="1"/>
  <c r="F613" i="2" s="1"/>
  <c r="F612" i="2" s="1"/>
  <c r="F384" i="2"/>
  <c r="F383" i="2" s="1"/>
  <c r="F731" i="2"/>
  <c r="F725" i="2"/>
  <c r="F724" i="2" s="1"/>
  <c r="F723" i="2" s="1"/>
  <c r="F802" i="2"/>
  <c r="N508" i="2"/>
  <c r="N507" i="2" s="1"/>
  <c r="K508" i="2"/>
  <c r="K507" i="2" s="1"/>
  <c r="F508" i="2"/>
  <c r="F507" i="2" s="1"/>
  <c r="L217" i="1"/>
  <c r="N702" i="2"/>
  <c r="K702" i="2"/>
  <c r="F702" i="2"/>
  <c r="K120" i="2"/>
  <c r="F120" i="2"/>
  <c r="N57" i="2"/>
  <c r="K57" i="2"/>
  <c r="F57" i="2"/>
  <c r="N58" i="2"/>
  <c r="K58" i="2"/>
  <c r="F58" i="2"/>
  <c r="H575" i="2" l="1"/>
  <c r="H574" i="2" s="1"/>
  <c r="H564" i="2" s="1"/>
  <c r="H563" i="2" s="1"/>
  <c r="H562" i="2" s="1"/>
  <c r="H561" i="2" s="1"/>
  <c r="H533" i="2" s="1"/>
  <c r="J576" i="2"/>
  <c r="J575" i="2" s="1"/>
  <c r="J574" i="2" s="1"/>
  <c r="J564" i="2" s="1"/>
  <c r="J563" i="2" s="1"/>
  <c r="J562" i="2" s="1"/>
  <c r="J561" i="2" s="1"/>
  <c r="J533" i="2" s="1"/>
  <c r="J524" i="2" s="1"/>
  <c r="J922" i="2" s="1"/>
  <c r="L548" i="1"/>
  <c r="I548" i="1"/>
  <c r="L542" i="1"/>
  <c r="F420" i="2"/>
  <c r="N420" i="2"/>
  <c r="K420" i="2"/>
  <c r="I482" i="1"/>
  <c r="I473" i="1" s="1"/>
  <c r="D335" i="1"/>
  <c r="D334" i="1" s="1"/>
  <c r="D331" i="1" s="1"/>
  <c r="H524" i="2" l="1"/>
  <c r="H922" i="2" s="1"/>
  <c r="D424" i="1"/>
  <c r="D428" i="1"/>
  <c r="D111" i="1"/>
  <c r="D171" i="1" l="1"/>
  <c r="D423" i="1"/>
  <c r="D286" i="1"/>
  <c r="I217" i="1" l="1"/>
  <c r="D217" i="1"/>
  <c r="D56" i="1"/>
  <c r="L52" i="1"/>
  <c r="L51" i="1" s="1"/>
  <c r="I52" i="1"/>
  <c r="I51" i="1" s="1"/>
  <c r="D646" i="1"/>
  <c r="D644" i="1"/>
  <c r="D640" i="1"/>
  <c r="D638" i="1"/>
  <c r="D636" i="1"/>
  <c r="D634" i="1"/>
  <c r="D631" i="1"/>
  <c r="D622" i="1"/>
  <c r="D620" i="1"/>
  <c r="D618" i="1"/>
  <c r="D613" i="1"/>
  <c r="D611" i="1" s="1"/>
  <c r="D597" i="1"/>
  <c r="D596" i="1" s="1"/>
  <c r="D587" i="1"/>
  <c r="D586" i="1" s="1"/>
  <c r="D576" i="1"/>
  <c r="D575" i="1" s="1"/>
  <c r="D574" i="1" s="1"/>
  <c r="D571" i="1"/>
  <c r="D565" i="1"/>
  <c r="D560" i="1" s="1"/>
  <c r="D557" i="1"/>
  <c r="D552" i="1" s="1"/>
  <c r="D547" i="1"/>
  <c r="D546" i="1" s="1"/>
  <c r="D541" i="1"/>
  <c r="D540" i="1" s="1"/>
  <c r="D537" i="1"/>
  <c r="D535" i="1"/>
  <c r="D534" i="1" s="1"/>
  <c r="D533" i="1" s="1"/>
  <c r="D532" i="1" s="1"/>
  <c r="D529" i="1"/>
  <c r="D528" i="1" s="1"/>
  <c r="D519" i="1"/>
  <c r="D511" i="1"/>
  <c r="D508" i="1"/>
  <c r="D507" i="1"/>
  <c r="D501" i="1"/>
  <c r="D498" i="1"/>
  <c r="D495" i="1"/>
  <c r="D494" i="1"/>
  <c r="D493" i="1" s="1"/>
  <c r="D488" i="1"/>
  <c r="D473" i="1"/>
  <c r="D460" i="1"/>
  <c r="D459" i="1" s="1"/>
  <c r="D434" i="1"/>
  <c r="D432" i="1" s="1"/>
  <c r="D422" i="1" s="1"/>
  <c r="D416" i="1"/>
  <c r="D415" i="1" s="1"/>
  <c r="D409" i="1"/>
  <c r="D401" i="1"/>
  <c r="D391" i="1" s="1"/>
  <c r="D388" i="1"/>
  <c r="D387" i="1"/>
  <c r="D386" i="1"/>
  <c r="D385" i="1"/>
  <c r="D382" i="1"/>
  <c r="D381" i="1"/>
  <c r="D377" i="1"/>
  <c r="D373" i="1"/>
  <c r="D372" i="1" s="1"/>
  <c r="D362" i="1"/>
  <c r="D361" i="1" s="1"/>
  <c r="D360" i="1" s="1"/>
  <c r="D353" i="1"/>
  <c r="D352" i="1" s="1"/>
  <c r="D344" i="1"/>
  <c r="D329" i="1"/>
  <c r="D328" i="1"/>
  <c r="D327" i="1" s="1"/>
  <c r="D326" i="1" s="1"/>
  <c r="D319" i="1"/>
  <c r="D318" i="1" s="1"/>
  <c r="D295" i="1"/>
  <c r="D285" i="1"/>
  <c r="D281" i="1"/>
  <c r="D276" i="1"/>
  <c r="D275" i="1"/>
  <c r="D274" i="1"/>
  <c r="D273" i="1" s="1"/>
  <c r="D272" i="1"/>
  <c r="D271" i="1"/>
  <c r="D270" i="1" s="1"/>
  <c r="D265" i="1"/>
  <c r="D264" i="1"/>
  <c r="D263" i="1" s="1"/>
  <c r="D262" i="1"/>
  <c r="D261" i="1"/>
  <c r="D260" i="1" s="1"/>
  <c r="D245" i="1"/>
  <c r="D235" i="1"/>
  <c r="D227" i="1"/>
  <c r="D224" i="1"/>
  <c r="D212" i="1"/>
  <c r="D211" i="1" s="1"/>
  <c r="D208" i="1"/>
  <c r="D207" i="1" s="1"/>
  <c r="D204" i="1"/>
  <c r="D203" i="1" s="1"/>
  <c r="D200" i="1"/>
  <c r="D199" i="1" s="1"/>
  <c r="D195" i="1"/>
  <c r="D194" i="1" s="1"/>
  <c r="D170" i="1"/>
  <c r="D169" i="1" s="1"/>
  <c r="D168" i="1" s="1"/>
  <c r="D165" i="1"/>
  <c r="D164" i="1"/>
  <c r="D157" i="1" s="1"/>
  <c r="D152" i="1"/>
  <c r="D130" i="1"/>
  <c r="D129" i="1"/>
  <c r="D128" i="1"/>
  <c r="D127" i="1"/>
  <c r="D114" i="1"/>
  <c r="D113" i="1" s="1"/>
  <c r="D90" i="1"/>
  <c r="D86" i="1"/>
  <c r="D81" i="1"/>
  <c r="D71" i="1"/>
  <c r="D70" i="1" s="1"/>
  <c r="D69" i="1" s="1"/>
  <c r="D60" i="1"/>
  <c r="D59" i="1" s="1"/>
  <c r="D30" i="1"/>
  <c r="F30" i="1" s="1"/>
  <c r="H30" i="1" s="1"/>
  <c r="D29" i="1"/>
  <c r="D19" i="1"/>
  <c r="D16" i="1"/>
  <c r="D15" i="1"/>
  <c r="D14" i="1" s="1"/>
  <c r="D11" i="1"/>
  <c r="H28" i="1" l="1"/>
  <c r="D284" i="1"/>
  <c r="D239" i="1"/>
  <c r="D238" i="1" s="1"/>
  <c r="D447" i="1"/>
  <c r="D421" i="1" s="1"/>
  <c r="F28" i="1"/>
  <c r="F25" i="1" s="1"/>
  <c r="F24" i="1" s="1"/>
  <c r="F9" i="1" s="1"/>
  <c r="F8" i="1" s="1"/>
  <c r="F658" i="1" s="1"/>
  <c r="D85" i="1"/>
  <c r="D126" i="1"/>
  <c r="D125" i="1" s="1"/>
  <c r="D506" i="1"/>
  <c r="D497" i="1" s="1"/>
  <c r="D496" i="1" s="1"/>
  <c r="D407" i="1"/>
  <c r="D339" i="1"/>
  <c r="D338" i="1" s="1"/>
  <c r="D337" i="1" s="1"/>
  <c r="D330" i="1" s="1"/>
  <c r="D10" i="1"/>
  <c r="D68" i="1"/>
  <c r="D198" i="1"/>
  <c r="D259" i="1"/>
  <c r="D258" i="1" s="1"/>
  <c r="D592" i="1"/>
  <c r="D591" i="1" s="1"/>
  <c r="D583" i="1" s="1"/>
  <c r="D582" i="1" s="1"/>
  <c r="D28" i="1"/>
  <c r="D25" i="1" s="1"/>
  <c r="D24" i="1" s="1"/>
  <c r="D151" i="1"/>
  <c r="D34" i="1"/>
  <c r="D33" i="1" s="1"/>
  <c r="D380" i="1"/>
  <c r="D376" i="1" s="1"/>
  <c r="D371" i="1" s="1"/>
  <c r="D406" i="1"/>
  <c r="D390" i="1" s="1"/>
  <c r="D551" i="1"/>
  <c r="D536" i="1"/>
  <c r="D216" i="1"/>
  <c r="D215" i="1" s="1"/>
  <c r="D463" i="1"/>
  <c r="D351" i="1"/>
  <c r="H25" i="1" l="1"/>
  <c r="H24" i="1" s="1"/>
  <c r="H9" i="1" s="1"/>
  <c r="H8" i="1" s="1"/>
  <c r="H658" i="1" s="1"/>
  <c r="C19" i="5" s="1"/>
  <c r="D9" i="1"/>
  <c r="D389" i="1"/>
  <c r="L557" i="1" l="1"/>
  <c r="L552" i="1" s="1"/>
  <c r="I557" i="1"/>
  <c r="I552" i="1" s="1"/>
  <c r="L71" i="1"/>
  <c r="L70" i="1" s="1"/>
  <c r="I71" i="1"/>
  <c r="I70" i="1" s="1"/>
  <c r="D14" i="5"/>
  <c r="D13" i="5" s="1"/>
  <c r="D12" i="5" s="1"/>
  <c r="E14" i="5"/>
  <c r="E13" i="5" s="1"/>
  <c r="E12" i="5" s="1"/>
  <c r="C14" i="5"/>
  <c r="C13" i="5" s="1"/>
  <c r="C12" i="5" s="1"/>
  <c r="N690" i="2" l="1"/>
  <c r="K690" i="2"/>
  <c r="F690" i="2"/>
  <c r="N346" i="2"/>
  <c r="K346" i="2"/>
  <c r="F346" i="2"/>
  <c r="N337" i="2"/>
  <c r="K337" i="2"/>
  <c r="F337" i="2"/>
  <c r="N151" i="2"/>
  <c r="K151" i="2"/>
  <c r="F151" i="2"/>
  <c r="N138" i="2"/>
  <c r="F138" i="2"/>
  <c r="F299" i="2"/>
  <c r="F298" i="2" s="1"/>
  <c r="F297" i="2" s="1"/>
  <c r="N883" i="2"/>
  <c r="N880" i="2" s="1"/>
  <c r="K883" i="2"/>
  <c r="F883" i="2"/>
  <c r="F880" i="2" s="1"/>
  <c r="N889" i="2"/>
  <c r="N888" i="2" s="1"/>
  <c r="K889" i="2"/>
  <c r="K888" i="2" s="1"/>
  <c r="F889" i="2"/>
  <c r="F888" i="2" s="1"/>
  <c r="N866" i="2"/>
  <c r="N865" i="2" s="1"/>
  <c r="N864" i="2" s="1"/>
  <c r="N863" i="2" s="1"/>
  <c r="N862" i="2" s="1"/>
  <c r="N861" i="2" s="1"/>
  <c r="K866" i="2"/>
  <c r="K865" i="2" s="1"/>
  <c r="K864" i="2" s="1"/>
  <c r="K863" i="2" s="1"/>
  <c r="K862" i="2" s="1"/>
  <c r="K861" i="2" s="1"/>
  <c r="F866" i="2"/>
  <c r="F865" i="2" s="1"/>
  <c r="F864" i="2" s="1"/>
  <c r="F863" i="2" s="1"/>
  <c r="F862" i="2" s="1"/>
  <c r="F861" i="2" s="1"/>
  <c r="N721" i="2"/>
  <c r="K721" i="2"/>
  <c r="F720" i="2"/>
  <c r="N722" i="2"/>
  <c r="K722" i="2"/>
  <c r="N879" i="2" l="1"/>
  <c r="N878" i="2" s="1"/>
  <c r="N877" i="2" s="1"/>
  <c r="N876" i="2" s="1"/>
  <c r="F879" i="2"/>
  <c r="F878" i="2" s="1"/>
  <c r="F877" i="2" s="1"/>
  <c r="F876" i="2" s="1"/>
  <c r="N854" i="2" l="1"/>
  <c r="N853" i="2" s="1"/>
  <c r="N852" i="2" s="1"/>
  <c r="N851" i="2" s="1"/>
  <c r="N850" i="2" s="1"/>
  <c r="N849" i="2" s="1"/>
  <c r="N848" i="2" s="1"/>
  <c r="K854" i="2"/>
  <c r="K853" i="2" s="1"/>
  <c r="K852" i="2" s="1"/>
  <c r="K851" i="2" s="1"/>
  <c r="K850" i="2" s="1"/>
  <c r="K849" i="2" s="1"/>
  <c r="K848" i="2" s="1"/>
  <c r="F854" i="2"/>
  <c r="F858" i="2"/>
  <c r="F857" i="2" s="1"/>
  <c r="N835" i="2"/>
  <c r="N834" i="2" s="1"/>
  <c r="N833" i="2" s="1"/>
  <c r="N832" i="2" s="1"/>
  <c r="K835" i="2"/>
  <c r="K834" i="2" s="1"/>
  <c r="K833" i="2" s="1"/>
  <c r="K832" i="2" s="1"/>
  <c r="F835" i="2"/>
  <c r="F834" i="2" s="1"/>
  <c r="F833" i="2" s="1"/>
  <c r="F832" i="2" s="1"/>
  <c r="F853" i="2" l="1"/>
  <c r="F852" i="2" s="1"/>
  <c r="F851" i="2" s="1"/>
  <c r="F850" i="2" s="1"/>
  <c r="F849" i="2" s="1"/>
  <c r="F848" i="2" s="1"/>
  <c r="N770" i="2"/>
  <c r="K770" i="2"/>
  <c r="F770" i="2"/>
  <c r="N805" i="2"/>
  <c r="N800" i="2" s="1"/>
  <c r="K805" i="2"/>
  <c r="K800" i="2" s="1"/>
  <c r="F805" i="2"/>
  <c r="N747" i="2"/>
  <c r="N746" i="2" s="1"/>
  <c r="K747" i="2"/>
  <c r="K746" i="2" s="1"/>
  <c r="F747" i="2"/>
  <c r="F746" i="2" s="1"/>
  <c r="N713" i="2"/>
  <c r="N712" i="2" s="1"/>
  <c r="N711" i="2" s="1"/>
  <c r="N710" i="2" s="1"/>
  <c r="N709" i="2" s="1"/>
  <c r="K713" i="2"/>
  <c r="K712" i="2" s="1"/>
  <c r="K711" i="2" s="1"/>
  <c r="K710" i="2" s="1"/>
  <c r="K709" i="2" s="1"/>
  <c r="F713" i="2"/>
  <c r="F712" i="2" s="1"/>
  <c r="F711" i="2" s="1"/>
  <c r="F710" i="2" s="1"/>
  <c r="F709" i="2" s="1"/>
  <c r="N699" i="2"/>
  <c r="K699" i="2"/>
  <c r="F699" i="2"/>
  <c r="N686" i="2"/>
  <c r="N685" i="2" s="1"/>
  <c r="K686" i="2"/>
  <c r="K685" i="2" s="1"/>
  <c r="F660" i="2"/>
  <c r="F659" i="2" s="1"/>
  <c r="N689" i="2"/>
  <c r="K689" i="2"/>
  <c r="F689" i="2"/>
  <c r="N540" i="2"/>
  <c r="K540" i="2"/>
  <c r="F540" i="2"/>
  <c r="F686" i="2"/>
  <c r="F685" i="2" s="1"/>
  <c r="N591" i="2"/>
  <c r="K591" i="2"/>
  <c r="F598" i="2"/>
  <c r="N554" i="2"/>
  <c r="N553" i="2" s="1"/>
  <c r="K554" i="2"/>
  <c r="K553" i="2" s="1"/>
  <c r="F556" i="2"/>
  <c r="F555" i="2"/>
  <c r="F554" i="2" s="1"/>
  <c r="F553" i="2" s="1"/>
  <c r="F597" i="2"/>
  <c r="F592" i="2" s="1"/>
  <c r="F591" i="2" s="1"/>
  <c r="N589" i="2"/>
  <c r="N588" i="2" s="1"/>
  <c r="N587" i="2" s="1"/>
  <c r="K589" i="2"/>
  <c r="K588" i="2" s="1"/>
  <c r="K587" i="2" s="1"/>
  <c r="F589" i="2"/>
  <c r="F588" i="2" s="1"/>
  <c r="F587" i="2" s="1"/>
  <c r="N551" i="2"/>
  <c r="N550" i="2" s="1"/>
  <c r="N549" i="2" s="1"/>
  <c r="K551" i="2"/>
  <c r="K550" i="2" s="1"/>
  <c r="K549" i="2" s="1"/>
  <c r="F551" i="2"/>
  <c r="F550" i="2" s="1"/>
  <c r="F549" i="2" s="1"/>
  <c r="N660" i="2"/>
  <c r="N659" i="2" s="1"/>
  <c r="K660" i="2"/>
  <c r="K659" i="2" s="1"/>
  <c r="N655" i="2"/>
  <c r="N654" i="2" s="1"/>
  <c r="N653" i="2" s="1"/>
  <c r="N652" i="2" s="1"/>
  <c r="K655" i="2"/>
  <c r="K654" i="2" s="1"/>
  <c r="F655" i="2"/>
  <c r="F654" i="2" s="1"/>
  <c r="N530" i="2"/>
  <c r="N529" i="2" s="1"/>
  <c r="N528" i="2" s="1"/>
  <c r="N527" i="2" s="1"/>
  <c r="N526" i="2" s="1"/>
  <c r="N525" i="2" s="1"/>
  <c r="K530" i="2"/>
  <c r="K529" i="2" s="1"/>
  <c r="K528" i="2" s="1"/>
  <c r="K527" i="2" s="1"/>
  <c r="K526" i="2" s="1"/>
  <c r="K525" i="2" s="1"/>
  <c r="F530" i="2"/>
  <c r="F529" i="2" s="1"/>
  <c r="F528" i="2" s="1"/>
  <c r="F527" i="2" s="1"/>
  <c r="F526" i="2" s="1"/>
  <c r="F525" i="2" s="1"/>
  <c r="N521" i="2"/>
  <c r="N520" i="2" s="1"/>
  <c r="K521" i="2"/>
  <c r="K520" i="2" s="1"/>
  <c r="F521" i="2"/>
  <c r="F520" i="2" s="1"/>
  <c r="N515" i="2"/>
  <c r="K515" i="2"/>
  <c r="F515" i="2"/>
  <c r="N300" i="2"/>
  <c r="N299" i="2" s="1"/>
  <c r="N298" i="2" s="1"/>
  <c r="N297" i="2" s="1"/>
  <c r="K300" i="2"/>
  <c r="K299" i="2" s="1"/>
  <c r="K298" i="2" s="1"/>
  <c r="K297" i="2" s="1"/>
  <c r="N494" i="2"/>
  <c r="N493" i="2" s="1"/>
  <c r="N492" i="2" s="1"/>
  <c r="K494" i="2"/>
  <c r="K493" i="2" s="1"/>
  <c r="K492" i="2" s="1"/>
  <c r="F494" i="2"/>
  <c r="F493" i="2" s="1"/>
  <c r="K483" i="2"/>
  <c r="K482" i="2" s="1"/>
  <c r="K481" i="2" s="1"/>
  <c r="K480" i="2" s="1"/>
  <c r="K479" i="2" s="1"/>
  <c r="F483" i="2"/>
  <c r="F482" i="2" s="1"/>
  <c r="F481" i="2" s="1"/>
  <c r="F480" i="2" s="1"/>
  <c r="F479" i="2" s="1"/>
  <c r="N403" i="2"/>
  <c r="K403" i="2"/>
  <c r="F403" i="2"/>
  <c r="F390" i="2"/>
  <c r="F388" i="2" s="1"/>
  <c r="N382" i="2"/>
  <c r="N376" i="2"/>
  <c r="N375" i="2" s="1"/>
  <c r="K376" i="2"/>
  <c r="K375" i="2" s="1"/>
  <c r="F376" i="2"/>
  <c r="N366" i="2"/>
  <c r="N365" i="2" s="1"/>
  <c r="N364" i="2" s="1"/>
  <c r="K366" i="2"/>
  <c r="K365" i="2" s="1"/>
  <c r="K364" i="2" s="1"/>
  <c r="F366" i="2"/>
  <c r="F365" i="2" s="1"/>
  <c r="F364" i="2" s="1"/>
  <c r="N333" i="2"/>
  <c r="N332" i="2" s="1"/>
  <c r="K333" i="2"/>
  <c r="K332" i="2" s="1"/>
  <c r="F333" i="2"/>
  <c r="F332" i="2" s="1"/>
  <c r="N359" i="2"/>
  <c r="K359" i="2"/>
  <c r="F359" i="2"/>
  <c r="F327" i="2"/>
  <c r="F326" i="2" s="1"/>
  <c r="N326" i="2"/>
  <c r="N317" i="2" s="1"/>
  <c r="N316" i="2" s="1"/>
  <c r="K326" i="2"/>
  <c r="K318" i="2" s="1"/>
  <c r="F320" i="2"/>
  <c r="N284" i="2"/>
  <c r="K285" i="2"/>
  <c r="K284" i="2" s="1"/>
  <c r="N244" i="2"/>
  <c r="N243" i="2" s="1"/>
  <c r="K244" i="2"/>
  <c r="K243" i="2" s="1"/>
  <c r="F243" i="2"/>
  <c r="F285" i="2"/>
  <c r="F284" i="2" s="1"/>
  <c r="N196" i="2"/>
  <c r="N195" i="2" s="1"/>
  <c r="N194" i="2" s="1"/>
  <c r="K196" i="2"/>
  <c r="K195" i="2" s="1"/>
  <c r="K194" i="2" s="1"/>
  <c r="F196" i="2"/>
  <c r="F195" i="2" s="1"/>
  <c r="F194" i="2" s="1"/>
  <c r="N187" i="2"/>
  <c r="K187" i="2"/>
  <c r="F187" i="2"/>
  <c r="N186" i="2"/>
  <c r="K186" i="2"/>
  <c r="F186" i="2"/>
  <c r="N185" i="2"/>
  <c r="K185" i="2"/>
  <c r="F185" i="2"/>
  <c r="N184" i="2"/>
  <c r="K184" i="2"/>
  <c r="F184" i="2"/>
  <c r="N181" i="2"/>
  <c r="K181" i="2"/>
  <c r="F181" i="2"/>
  <c r="N180" i="2"/>
  <c r="K180" i="2"/>
  <c r="F180" i="2"/>
  <c r="N176" i="2"/>
  <c r="K176" i="2"/>
  <c r="F176" i="2"/>
  <c r="N119" i="2"/>
  <c r="N118" i="2" s="1"/>
  <c r="N117" i="2" s="1"/>
  <c r="N116" i="2" s="1"/>
  <c r="N115" i="2" s="1"/>
  <c r="N114" i="2" s="1"/>
  <c r="K119" i="2"/>
  <c r="K118" i="2" s="1"/>
  <c r="K117" i="2" s="1"/>
  <c r="K116" i="2" s="1"/>
  <c r="K115" i="2" s="1"/>
  <c r="K114" i="2" s="1"/>
  <c r="F119" i="2"/>
  <c r="F118" i="2" s="1"/>
  <c r="F117" i="2" s="1"/>
  <c r="F116" i="2" s="1"/>
  <c r="F115" i="2" s="1"/>
  <c r="F114" i="2" s="1"/>
  <c r="N77" i="2"/>
  <c r="K77" i="2"/>
  <c r="F77" i="2"/>
  <c r="N112" i="2"/>
  <c r="K112" i="2"/>
  <c r="F112" i="2"/>
  <c r="N110" i="2"/>
  <c r="K110" i="2"/>
  <c r="F110" i="2"/>
  <c r="N906" i="2"/>
  <c r="N905" i="2" s="1"/>
  <c r="N904" i="2" s="1"/>
  <c r="N903" i="2" s="1"/>
  <c r="K906" i="2"/>
  <c r="K905" i="2" s="1"/>
  <c r="K904" i="2" s="1"/>
  <c r="K903" i="2" s="1"/>
  <c r="F906" i="2"/>
  <c r="F905" i="2" s="1"/>
  <c r="F904" i="2" s="1"/>
  <c r="F903" i="2" s="1"/>
  <c r="N107" i="2"/>
  <c r="K107" i="2"/>
  <c r="F107" i="2"/>
  <c r="K102" i="2"/>
  <c r="F102" i="2"/>
  <c r="N102" i="2"/>
  <c r="N91" i="2"/>
  <c r="N90" i="2" s="1"/>
  <c r="N89" i="2" s="1"/>
  <c r="K91" i="2"/>
  <c r="K90" i="2" s="1"/>
  <c r="K89" i="2" s="1"/>
  <c r="F91" i="2"/>
  <c r="F90" i="2" s="1"/>
  <c r="F89" i="2" s="1"/>
  <c r="N56" i="2"/>
  <c r="N55" i="2" s="1"/>
  <c r="N54" i="2" s="1"/>
  <c r="N53" i="2" s="1"/>
  <c r="N52" i="2" s="1"/>
  <c r="K56" i="2"/>
  <c r="K55" i="2" s="1"/>
  <c r="K54" i="2" s="1"/>
  <c r="K53" i="2" s="1"/>
  <c r="K52" i="2" s="1"/>
  <c r="F56" i="2"/>
  <c r="F55" i="2" s="1"/>
  <c r="F54" i="2" s="1"/>
  <c r="F53" i="2" s="1"/>
  <c r="F52" i="2" s="1"/>
  <c r="N26" i="2"/>
  <c r="N25" i="2" s="1"/>
  <c r="K25" i="2"/>
  <c r="F26" i="2"/>
  <c r="F25" i="2" s="1"/>
  <c r="N14" i="2"/>
  <c r="N13" i="2" s="1"/>
  <c r="N12" i="2" s="1"/>
  <c r="N11" i="2" s="1"/>
  <c r="N10" i="2" s="1"/>
  <c r="K14" i="2"/>
  <c r="K13" i="2" s="1"/>
  <c r="K12" i="2" s="1"/>
  <c r="K11" i="2" s="1"/>
  <c r="K10" i="2" s="1"/>
  <c r="F14" i="2"/>
  <c r="F13" i="2" s="1"/>
  <c r="F12" i="2" s="1"/>
  <c r="F11" i="2" s="1"/>
  <c r="F10" i="2" s="1"/>
  <c r="N50" i="2"/>
  <c r="N49" i="2" s="1"/>
  <c r="N48" i="2" s="1"/>
  <c r="K50" i="2"/>
  <c r="K49" i="2" s="1"/>
  <c r="K48" i="2" s="1"/>
  <c r="F50" i="2"/>
  <c r="F49" i="2" s="1"/>
  <c r="F48" i="2" s="1"/>
  <c r="N44" i="2"/>
  <c r="N43" i="2" s="1"/>
  <c r="K44" i="2"/>
  <c r="K43" i="2" s="1"/>
  <c r="F44" i="2"/>
  <c r="F43" i="2" s="1"/>
  <c r="N22" i="2"/>
  <c r="N21" i="2" s="1"/>
  <c r="N20" i="2" s="1"/>
  <c r="N19" i="2" s="1"/>
  <c r="K22" i="2"/>
  <c r="K21" i="2" s="1"/>
  <c r="K20" i="2" s="1"/>
  <c r="F22" i="2"/>
  <c r="F21" i="2" s="1"/>
  <c r="F20" i="2" s="1"/>
  <c r="N101" i="2" l="1"/>
  <c r="N100" i="2" s="1"/>
  <c r="N18" i="2"/>
  <c r="N17" i="2" s="1"/>
  <c r="K381" i="2"/>
  <c r="K374" i="2" s="1"/>
  <c r="F101" i="2"/>
  <c r="F100" i="2" s="1"/>
  <c r="K101" i="2"/>
  <c r="K100" i="2" s="1"/>
  <c r="F382" i="2"/>
  <c r="F381" i="2" s="1"/>
  <c r="N381" i="2"/>
  <c r="N374" i="2" s="1"/>
  <c r="F19" i="2"/>
  <c r="F18" i="2" s="1"/>
  <c r="F17" i="2" s="1"/>
  <c r="F506" i="2"/>
  <c r="F505" i="2" s="1"/>
  <c r="F504" i="2" s="1"/>
  <c r="F492" i="2"/>
  <c r="F375" i="2"/>
  <c r="N336" i="2"/>
  <c r="N315" i="2" s="1"/>
  <c r="N314" i="2" s="1"/>
  <c r="N313" i="2" s="1"/>
  <c r="K336" i="2"/>
  <c r="F336" i="2"/>
  <c r="F317" i="2"/>
  <c r="F316" i="2" s="1"/>
  <c r="K317" i="2"/>
  <c r="K316" i="2" s="1"/>
  <c r="F318" i="2"/>
  <c r="N318" i="2"/>
  <c r="F179" i="2"/>
  <c r="F175" i="2" s="1"/>
  <c r="F174" i="2" s="1"/>
  <c r="N179" i="2"/>
  <c r="N175" i="2" s="1"/>
  <c r="N174" i="2" s="1"/>
  <c r="K179" i="2"/>
  <c r="K175" i="2" s="1"/>
  <c r="K174" i="2" s="1"/>
  <c r="K19" i="2"/>
  <c r="K18" i="2" s="1"/>
  <c r="K17" i="2" s="1"/>
  <c r="F315" i="2" l="1"/>
  <c r="F314" i="2" s="1"/>
  <c r="F313" i="2" s="1"/>
  <c r="F374" i="2"/>
  <c r="K315" i="2"/>
  <c r="K314" i="2" s="1"/>
  <c r="K313" i="2" s="1"/>
  <c r="N275" i="2" l="1"/>
  <c r="N273" i="2" s="1"/>
  <c r="K275" i="2"/>
  <c r="K273" i="2" s="1"/>
  <c r="K272" i="2" s="1"/>
  <c r="K271" i="2" s="1"/>
  <c r="F275" i="2"/>
  <c r="F273" i="2" s="1"/>
  <c r="F272" i="2" s="1"/>
  <c r="K880" i="2"/>
  <c r="K879" i="2" s="1"/>
  <c r="K878" i="2" s="1"/>
  <c r="K877" i="2" s="1"/>
  <c r="K876" i="2" s="1"/>
  <c r="F269" i="2"/>
  <c r="F268" i="2" s="1"/>
  <c r="N268" i="2"/>
  <c r="K268" i="2"/>
  <c r="N264" i="2"/>
  <c r="K264" i="2"/>
  <c r="N260" i="2"/>
  <c r="K260" i="2"/>
  <c r="F260" i="2"/>
  <c r="F259" i="2" s="1"/>
  <c r="F256" i="2" s="1"/>
  <c r="N307" i="2"/>
  <c r="N306" i="2" s="1"/>
  <c r="N305" i="2" s="1"/>
  <c r="K307" i="2"/>
  <c r="K306" i="2" s="1"/>
  <c r="K305" i="2" s="1"/>
  <c r="F307" i="2"/>
  <c r="F306" i="2" s="1"/>
  <c r="F305" i="2" s="1"/>
  <c r="N168" i="2"/>
  <c r="N167" i="2" s="1"/>
  <c r="K168" i="2"/>
  <c r="K167" i="2" s="1"/>
  <c r="F168" i="2"/>
  <c r="F167" i="2" s="1"/>
  <c r="N137" i="2"/>
  <c r="N136" i="2" s="1"/>
  <c r="N135" i="2" s="1"/>
  <c r="K137" i="2"/>
  <c r="K136" i="2" s="1"/>
  <c r="K135" i="2" s="1"/>
  <c r="K126" i="2"/>
  <c r="K125" i="2" s="1"/>
  <c r="K124" i="2" s="1"/>
  <c r="F127" i="2"/>
  <c r="F126" i="2" s="1"/>
  <c r="F125" i="2" s="1"/>
  <c r="F124" i="2" s="1"/>
  <c r="N425" i="2"/>
  <c r="N424" i="2" s="1"/>
  <c r="K425" i="2"/>
  <c r="K424" i="2" s="1"/>
  <c r="F425" i="2"/>
  <c r="F424" i="2" s="1"/>
  <c r="N419" i="2"/>
  <c r="N418" i="2" s="1"/>
  <c r="K419" i="2"/>
  <c r="K418" i="2" s="1"/>
  <c r="F419" i="2"/>
  <c r="F418" i="2" s="1"/>
  <c r="N415" i="2"/>
  <c r="K415" i="2"/>
  <c r="F415" i="2"/>
  <c r="F240" i="2"/>
  <c r="F239" i="2" s="1"/>
  <c r="F238" i="2" s="1"/>
  <c r="F237" i="2" s="1"/>
  <c r="N239" i="2"/>
  <c r="N238" i="2" s="1"/>
  <c r="N237" i="2" s="1"/>
  <c r="K239" i="2"/>
  <c r="K238" i="2" s="1"/>
  <c r="K237" i="2" s="1"/>
  <c r="N201" i="2"/>
  <c r="N200" i="2" s="1"/>
  <c r="N199" i="2" s="1"/>
  <c r="N198" i="2" s="1"/>
  <c r="K201" i="2"/>
  <c r="K200" i="2" s="1"/>
  <c r="K199" i="2" s="1"/>
  <c r="K198" i="2" s="1"/>
  <c r="F201" i="2"/>
  <c r="F200" i="2" s="1"/>
  <c r="F199" i="2" s="1"/>
  <c r="F198" i="2" s="1"/>
  <c r="N229" i="2"/>
  <c r="F229" i="2"/>
  <c r="N221" i="2"/>
  <c r="K221" i="2"/>
  <c r="F221" i="2"/>
  <c r="F218" i="2"/>
  <c r="N217" i="2"/>
  <c r="K217" i="2"/>
  <c r="K216" i="2" s="1"/>
  <c r="F217" i="2"/>
  <c r="N211" i="2"/>
  <c r="K211" i="2"/>
  <c r="F211" i="2"/>
  <c r="N208" i="2"/>
  <c r="K208" i="2"/>
  <c r="F208" i="2"/>
  <c r="F439" i="2"/>
  <c r="N437" i="2"/>
  <c r="N436" i="2" s="1"/>
  <c r="N435" i="2" s="1"/>
  <c r="N434" i="2" s="1"/>
  <c r="N433" i="2" s="1"/>
  <c r="K437" i="2"/>
  <c r="K436" i="2" s="1"/>
  <c r="K435" i="2" s="1"/>
  <c r="F438" i="2"/>
  <c r="F437" i="2" s="1"/>
  <c r="F436" i="2" s="1"/>
  <c r="F435" i="2" s="1"/>
  <c r="F434" i="2" s="1"/>
  <c r="F433" i="2" s="1"/>
  <c r="N191" i="2"/>
  <c r="N190" i="2" s="1"/>
  <c r="N189" i="2" s="1"/>
  <c r="N188" i="2" s="1"/>
  <c r="N173" i="2" s="1"/>
  <c r="N172" i="2" s="1"/>
  <c r="K191" i="2"/>
  <c r="K190" i="2" s="1"/>
  <c r="K189" i="2" s="1"/>
  <c r="K188" i="2" s="1"/>
  <c r="K173" i="2" s="1"/>
  <c r="K172" i="2" s="1"/>
  <c r="F191" i="2"/>
  <c r="F190" i="2" s="1"/>
  <c r="N252" i="2"/>
  <c r="N251" i="2" s="1"/>
  <c r="N250" i="2" s="1"/>
  <c r="K252" i="2"/>
  <c r="K251" i="2" s="1"/>
  <c r="K250" i="2" s="1"/>
  <c r="F252" i="2"/>
  <c r="F251" i="2" s="1"/>
  <c r="F250" i="2" s="1"/>
  <c r="N158" i="2"/>
  <c r="N157" i="2" s="1"/>
  <c r="N156" i="2" s="1"/>
  <c r="K158" i="2"/>
  <c r="K157" i="2" s="1"/>
  <c r="K156" i="2" s="1"/>
  <c r="F158" i="2"/>
  <c r="F157" i="2" s="1"/>
  <c r="F156" i="2" s="1"/>
  <c r="N150" i="2"/>
  <c r="K150" i="2"/>
  <c r="F150" i="2"/>
  <c r="N734" i="2"/>
  <c r="K734" i="2"/>
  <c r="F734" i="2"/>
  <c r="K729" i="2"/>
  <c r="K728" i="2" s="1"/>
  <c r="K727" i="2" s="1"/>
  <c r="F729" i="2"/>
  <c r="F728" i="2" s="1"/>
  <c r="F727" i="2" s="1"/>
  <c r="N728" i="2"/>
  <c r="N727" i="2" s="1"/>
  <c r="N720" i="2"/>
  <c r="K720" i="2"/>
  <c r="N875" i="2"/>
  <c r="K875" i="2"/>
  <c r="F875" i="2"/>
  <c r="N874" i="2"/>
  <c r="N873" i="2" s="1"/>
  <c r="N872" i="2" s="1"/>
  <c r="K874" i="2"/>
  <c r="K873" i="2" s="1"/>
  <c r="K872" i="2" s="1"/>
  <c r="F874" i="2"/>
  <c r="F873" i="2" s="1"/>
  <c r="F872" i="2" s="1"/>
  <c r="N775" i="2"/>
  <c r="N774" i="2" s="1"/>
  <c r="K775" i="2"/>
  <c r="K774" i="2" s="1"/>
  <c r="F775" i="2"/>
  <c r="F774" i="2" s="1"/>
  <c r="N811" i="2"/>
  <c r="K811" i="2"/>
  <c r="F811" i="2"/>
  <c r="F801" i="2"/>
  <c r="F800" i="2" s="1"/>
  <c r="N845" i="2"/>
  <c r="K845" i="2"/>
  <c r="F845" i="2"/>
  <c r="N840" i="2"/>
  <c r="K840" i="2"/>
  <c r="F840" i="2"/>
  <c r="N765" i="2"/>
  <c r="K765" i="2"/>
  <c r="F765" i="2"/>
  <c r="N764" i="2"/>
  <c r="N763" i="2" s="1"/>
  <c r="N762" i="2" s="1"/>
  <c r="N761" i="2" s="1"/>
  <c r="N760" i="2" s="1"/>
  <c r="N759" i="2" s="1"/>
  <c r="K764" i="2"/>
  <c r="K763" i="2" s="1"/>
  <c r="K762" i="2" s="1"/>
  <c r="K761" i="2" s="1"/>
  <c r="K760" i="2" s="1"/>
  <c r="K759" i="2" s="1"/>
  <c r="F764" i="2"/>
  <c r="F763" i="2" s="1"/>
  <c r="F762" i="2" s="1"/>
  <c r="F761" i="2" s="1"/>
  <c r="N799" i="2"/>
  <c r="K799" i="2"/>
  <c r="F799" i="2"/>
  <c r="N798" i="2"/>
  <c r="N797" i="2" s="1"/>
  <c r="K798" i="2"/>
  <c r="K797" i="2" s="1"/>
  <c r="F798" i="2"/>
  <c r="F797" i="2" s="1"/>
  <c r="N792" i="2"/>
  <c r="K792" i="2"/>
  <c r="F792" i="2"/>
  <c r="N791" i="2"/>
  <c r="N790" i="2" s="1"/>
  <c r="K791" i="2"/>
  <c r="K790" i="2" s="1"/>
  <c r="F791" i="2"/>
  <c r="F790" i="2" s="1"/>
  <c r="N789" i="2"/>
  <c r="K789" i="2"/>
  <c r="F789" i="2"/>
  <c r="N788" i="2"/>
  <c r="N787" i="2" s="1"/>
  <c r="K788" i="2"/>
  <c r="K787" i="2" s="1"/>
  <c r="F788" i="2"/>
  <c r="F787" i="2" s="1"/>
  <c r="N281" i="2"/>
  <c r="N280" i="2" s="1"/>
  <c r="K281" i="2"/>
  <c r="K280" i="2" s="1"/>
  <c r="F281" i="2"/>
  <c r="F280" i="2" s="1"/>
  <c r="N489" i="2"/>
  <c r="N488" i="2" s="1"/>
  <c r="N487" i="2" s="1"/>
  <c r="K489" i="2"/>
  <c r="K488" i="2" s="1"/>
  <c r="K487" i="2" s="1"/>
  <c r="F489" i="2"/>
  <c r="F488" i="2" s="1"/>
  <c r="F487" i="2" s="1"/>
  <c r="N755" i="2"/>
  <c r="N754" i="2" s="1"/>
  <c r="K755" i="2"/>
  <c r="K754" i="2" s="1"/>
  <c r="F755" i="2"/>
  <c r="F754" i="2" s="1"/>
  <c r="N751" i="2"/>
  <c r="K751" i="2"/>
  <c r="F751" i="2"/>
  <c r="N678" i="2"/>
  <c r="N677" i="2" s="1"/>
  <c r="K678" i="2"/>
  <c r="K677" i="2" s="1"/>
  <c r="F678" i="2"/>
  <c r="F677" i="2" s="1"/>
  <c r="F706" i="2"/>
  <c r="N705" i="2"/>
  <c r="N698" i="2" s="1"/>
  <c r="N697" i="2" s="1"/>
  <c r="N684" i="2" s="1"/>
  <c r="N683" i="2" s="1"/>
  <c r="N682" i="2" s="1"/>
  <c r="N681" i="2" s="1"/>
  <c r="K705" i="2"/>
  <c r="K698" i="2" s="1"/>
  <c r="K697" i="2" s="1"/>
  <c r="K684" i="2" s="1"/>
  <c r="K683" i="2" s="1"/>
  <c r="K682" i="2" s="1"/>
  <c r="K681" i="2" s="1"/>
  <c r="F705" i="2"/>
  <c r="F698" i="2" s="1"/>
  <c r="F697" i="2" s="1"/>
  <c r="F684" i="2" s="1"/>
  <c r="F683" i="2" s="1"/>
  <c r="F682" i="2" s="1"/>
  <c r="F681" i="2" s="1"/>
  <c r="N672" i="2"/>
  <c r="N671" i="2" s="1"/>
  <c r="K672" i="2"/>
  <c r="K671" i="2" s="1"/>
  <c r="F672" i="2"/>
  <c r="F671" i="2" s="1"/>
  <c r="K641" i="2"/>
  <c r="K640" i="2" s="1"/>
  <c r="K639" i="2" s="1"/>
  <c r="K638" i="2" s="1"/>
  <c r="K637" i="2" s="1"/>
  <c r="F641" i="2"/>
  <c r="F640" i="2" s="1"/>
  <c r="F639" i="2" s="1"/>
  <c r="F638" i="2" s="1"/>
  <c r="F637" i="2" s="1"/>
  <c r="N641" i="2"/>
  <c r="N640" i="2" s="1"/>
  <c r="N639" i="2" s="1"/>
  <c r="N638" i="2" s="1"/>
  <c r="N637" i="2" s="1"/>
  <c r="N632" i="2"/>
  <c r="K632" i="2"/>
  <c r="F632" i="2"/>
  <c r="N631" i="2"/>
  <c r="K631" i="2"/>
  <c r="F631" i="2"/>
  <c r="N630" i="2"/>
  <c r="K630" i="2"/>
  <c r="F630" i="2"/>
  <c r="N629" i="2"/>
  <c r="K629" i="2"/>
  <c r="F629" i="2"/>
  <c r="N453" i="2"/>
  <c r="N445" i="2" s="1"/>
  <c r="N444" i="2" s="1"/>
  <c r="N443" i="2" s="1"/>
  <c r="N442" i="2" s="1"/>
  <c r="N441" i="2" s="1"/>
  <c r="N440" i="2" s="1"/>
  <c r="K446" i="2"/>
  <c r="K445" i="2" s="1"/>
  <c r="K444" i="2" s="1"/>
  <c r="K443" i="2" s="1"/>
  <c r="K442" i="2" s="1"/>
  <c r="F446" i="2"/>
  <c r="F445" i="2" s="1"/>
  <c r="F444" i="2" s="1"/>
  <c r="F443" i="2" s="1"/>
  <c r="F442" i="2" s="1"/>
  <c r="N574" i="2"/>
  <c r="N570" i="2"/>
  <c r="K570" i="2"/>
  <c r="F570" i="2"/>
  <c r="N566" i="2"/>
  <c r="K566" i="2"/>
  <c r="F566" i="2"/>
  <c r="N546" i="2"/>
  <c r="K546" i="2"/>
  <c r="F546" i="2"/>
  <c r="N539" i="2"/>
  <c r="N538" i="2" s="1"/>
  <c r="K539" i="2"/>
  <c r="K538" i="2" s="1"/>
  <c r="F539" i="2"/>
  <c r="F538" i="2" s="1"/>
  <c r="N82" i="2"/>
  <c r="N81" i="2" s="1"/>
  <c r="K82" i="2"/>
  <c r="K81" i="2" s="1"/>
  <c r="F82" i="2"/>
  <c r="F81" i="2" s="1"/>
  <c r="N76" i="2"/>
  <c r="K76" i="2"/>
  <c r="F76" i="2"/>
  <c r="N900" i="2"/>
  <c r="N899" i="2" s="1"/>
  <c r="N898" i="2" s="1"/>
  <c r="K900" i="2"/>
  <c r="K899" i="2" s="1"/>
  <c r="N71" i="2"/>
  <c r="K71" i="2"/>
  <c r="F71" i="2"/>
  <c r="F68" i="2"/>
  <c r="F67" i="2"/>
  <c r="F66" i="2" s="1"/>
  <c r="N66" i="2"/>
  <c r="K66" i="2"/>
  <c r="N63" i="2"/>
  <c r="K63" i="2"/>
  <c r="F63" i="2"/>
  <c r="L329" i="1"/>
  <c r="I329" i="1"/>
  <c r="N216" i="2" l="1"/>
  <c r="N207" i="2"/>
  <c r="K414" i="2"/>
  <c r="K207" i="2"/>
  <c r="K256" i="2"/>
  <c r="K255" i="2" s="1"/>
  <c r="K206" i="2"/>
  <c r="K205" i="2" s="1"/>
  <c r="K204" i="2" s="1"/>
  <c r="N897" i="2"/>
  <c r="N896" i="2"/>
  <c r="N895" i="2" s="1"/>
  <c r="N272" i="2"/>
  <c r="N271" i="2" s="1"/>
  <c r="F216" i="2"/>
  <c r="F207" i="2" s="1"/>
  <c r="F279" i="2"/>
  <c r="F278" i="2" s="1"/>
  <c r="F658" i="2"/>
  <c r="N565" i="2"/>
  <c r="N564" i="2" s="1"/>
  <c r="N563" i="2" s="1"/>
  <c r="N562" i="2" s="1"/>
  <c r="N561" i="2" s="1"/>
  <c r="F537" i="2"/>
  <c r="F536" i="2" s="1"/>
  <c r="F535" i="2" s="1"/>
  <c r="F534" i="2" s="1"/>
  <c r="N256" i="2"/>
  <c r="N255" i="2" s="1"/>
  <c r="N242" i="2" s="1"/>
  <c r="K242" i="2"/>
  <c r="K241" i="2" s="1"/>
  <c r="K786" i="2"/>
  <c r="K785" i="2" s="1"/>
  <c r="N786" i="2"/>
  <c r="N785" i="2" s="1"/>
  <c r="K839" i="2"/>
  <c r="K838" i="2" s="1"/>
  <c r="K831" i="2" s="1"/>
  <c r="K830" i="2" s="1"/>
  <c r="F786" i="2"/>
  <c r="F839" i="2"/>
  <c r="F838" i="2" s="1"/>
  <c r="F831" i="2" s="1"/>
  <c r="F830" i="2" s="1"/>
  <c r="F871" i="2"/>
  <c r="N871" i="2"/>
  <c r="K871" i="2"/>
  <c r="N839" i="2"/>
  <c r="N838" i="2" s="1"/>
  <c r="N831" i="2" s="1"/>
  <c r="N830" i="2" s="1"/>
  <c r="N773" i="2"/>
  <c r="N769" i="2"/>
  <c r="N768" i="2" s="1"/>
  <c r="K769" i="2"/>
  <c r="K768" i="2" s="1"/>
  <c r="K773" i="2"/>
  <c r="F769" i="2"/>
  <c r="F768" i="2" s="1"/>
  <c r="F773" i="2"/>
  <c r="K898" i="2"/>
  <c r="K719" i="2"/>
  <c r="K718" i="2" s="1"/>
  <c r="K717" i="2" s="1"/>
  <c r="K716" i="2" s="1"/>
  <c r="N719" i="2"/>
  <c r="N718" i="2" s="1"/>
  <c r="N717" i="2" s="1"/>
  <c r="N716" i="2" s="1"/>
  <c r="F719" i="2"/>
  <c r="F718" i="2" s="1"/>
  <c r="F717" i="2" s="1"/>
  <c r="F716" i="2" s="1"/>
  <c r="K658" i="2"/>
  <c r="K628" i="2"/>
  <c r="K627" i="2" s="1"/>
  <c r="K626" i="2" s="1"/>
  <c r="K625" i="2" s="1"/>
  <c r="K624" i="2" s="1"/>
  <c r="N658" i="2"/>
  <c r="N651" i="2" s="1"/>
  <c r="N650" i="2" s="1"/>
  <c r="N628" i="2"/>
  <c r="N627" i="2" s="1"/>
  <c r="N626" i="2" s="1"/>
  <c r="N625" i="2" s="1"/>
  <c r="N624" i="2" s="1"/>
  <c r="K441" i="2"/>
  <c r="K440" i="2" s="1"/>
  <c r="K653" i="2"/>
  <c r="K652" i="2" s="1"/>
  <c r="F441" i="2"/>
  <c r="F440" i="2" s="1"/>
  <c r="F653" i="2"/>
  <c r="F652" i="2" s="1"/>
  <c r="F628" i="2"/>
  <c r="F627" i="2" s="1"/>
  <c r="F626" i="2" s="1"/>
  <c r="F625" i="2" s="1"/>
  <c r="F624" i="2" s="1"/>
  <c r="F750" i="2"/>
  <c r="F745" i="2" s="1"/>
  <c r="F744" i="2" s="1"/>
  <c r="F743" i="2" s="1"/>
  <c r="F742" i="2" s="1"/>
  <c r="N750" i="2"/>
  <c r="N745" i="2" s="1"/>
  <c r="N744" i="2" s="1"/>
  <c r="N743" i="2" s="1"/>
  <c r="N742" i="2" s="1"/>
  <c r="K750" i="2"/>
  <c r="K745" i="2" s="1"/>
  <c r="K744" i="2" s="1"/>
  <c r="K743" i="2" s="1"/>
  <c r="K742" i="2" s="1"/>
  <c r="K565" i="2"/>
  <c r="K564" i="2" s="1"/>
  <c r="K563" i="2" s="1"/>
  <c r="K562" i="2" s="1"/>
  <c r="K561" i="2" s="1"/>
  <c r="N279" i="2"/>
  <c r="N278" i="2" s="1"/>
  <c r="K279" i="2"/>
  <c r="K278" i="2" s="1"/>
  <c r="K537" i="2"/>
  <c r="K536" i="2" s="1"/>
  <c r="K535" i="2" s="1"/>
  <c r="K534" i="2" s="1"/>
  <c r="F189" i="2"/>
  <c r="F188" i="2" s="1"/>
  <c r="F173" i="2" s="1"/>
  <c r="F172" i="2" s="1"/>
  <c r="N537" i="2"/>
  <c r="N536" i="2" s="1"/>
  <c r="N535" i="2" s="1"/>
  <c r="N534" i="2" s="1"/>
  <c r="F565" i="2"/>
  <c r="F564" i="2" s="1"/>
  <c r="F62" i="2"/>
  <c r="F61" i="2" s="1"/>
  <c r="K62" i="2"/>
  <c r="K61" i="2" s="1"/>
  <c r="K60" i="2" s="1"/>
  <c r="N414" i="2"/>
  <c r="N373" i="2" s="1"/>
  <c r="N372" i="2" s="1"/>
  <c r="F900" i="2"/>
  <c r="F899" i="2" s="1"/>
  <c r="N506" i="2"/>
  <c r="N505" i="2" s="1"/>
  <c r="N504" i="2" s="1"/>
  <c r="N149" i="2"/>
  <c r="N148" i="2" s="1"/>
  <c r="N147" i="2" s="1"/>
  <c r="N123" i="2" s="1"/>
  <c r="F255" i="2"/>
  <c r="F242" i="2" s="1"/>
  <c r="F241" i="2" s="1"/>
  <c r="K149" i="2"/>
  <c r="K148" i="2" s="1"/>
  <c r="K147" i="2" s="1"/>
  <c r="K123" i="2" s="1"/>
  <c r="N62" i="2"/>
  <c r="N61" i="2" s="1"/>
  <c r="N60" i="2" s="1"/>
  <c r="K373" i="2"/>
  <c r="K372" i="2" s="1"/>
  <c r="F414" i="2"/>
  <c r="F373" i="2" s="1"/>
  <c r="F372" i="2" s="1"/>
  <c r="F149" i="2"/>
  <c r="F148" i="2" s="1"/>
  <c r="F147" i="2" s="1"/>
  <c r="K506" i="2"/>
  <c r="K505" i="2" s="1"/>
  <c r="K504" i="2" s="1"/>
  <c r="I511" i="1"/>
  <c r="L511" i="1"/>
  <c r="N533" i="2" l="1"/>
  <c r="N524" i="2" s="1"/>
  <c r="N241" i="2"/>
  <c r="N277" i="2"/>
  <c r="K171" i="2"/>
  <c r="K896" i="2"/>
  <c r="K895" i="2" s="1"/>
  <c r="K897" i="2"/>
  <c r="N206" i="2"/>
  <c r="N205" i="2" s="1"/>
  <c r="N204" i="2" s="1"/>
  <c r="F206" i="2"/>
  <c r="F205" i="2" s="1"/>
  <c r="F204" i="2" s="1"/>
  <c r="F171" i="2" s="1"/>
  <c r="F785" i="2"/>
  <c r="F784" i="2" s="1"/>
  <c r="F783" i="2" s="1"/>
  <c r="F782" i="2" s="1"/>
  <c r="F277" i="2"/>
  <c r="K767" i="2"/>
  <c r="K766" i="2" s="1"/>
  <c r="K758" i="2" s="1"/>
  <c r="F767" i="2"/>
  <c r="F766" i="2" s="1"/>
  <c r="N767" i="2"/>
  <c r="N766" i="2" s="1"/>
  <c r="N758" i="2" s="1"/>
  <c r="N870" i="2"/>
  <c r="N869" i="2" s="1"/>
  <c r="N868" i="2" s="1"/>
  <c r="N519" i="2"/>
  <c r="N518" i="2" s="1"/>
  <c r="K784" i="2"/>
  <c r="K783" i="2" s="1"/>
  <c r="K782" i="2" s="1"/>
  <c r="N784" i="2"/>
  <c r="N783" i="2" s="1"/>
  <c r="N782" i="2" s="1"/>
  <c r="F870" i="2"/>
  <c r="F869" i="2" s="1"/>
  <c r="F868" i="2" s="1"/>
  <c r="F519" i="2"/>
  <c r="F518" i="2" s="1"/>
  <c r="K870" i="2"/>
  <c r="K869" i="2" s="1"/>
  <c r="K868" i="2" s="1"/>
  <c r="K519" i="2"/>
  <c r="K518" i="2" s="1"/>
  <c r="F898" i="2"/>
  <c r="F897" i="2" s="1"/>
  <c r="F760" i="2"/>
  <c r="F759" i="2" s="1"/>
  <c r="K651" i="2"/>
  <c r="K650" i="2" s="1"/>
  <c r="K533" i="2" s="1"/>
  <c r="K524" i="2" s="1"/>
  <c r="K486" i="2" s="1"/>
  <c r="F651" i="2"/>
  <c r="F650" i="2" s="1"/>
  <c r="F563" i="2"/>
  <c r="N486" i="2"/>
  <c r="K59" i="2"/>
  <c r="K9" i="2" s="1"/>
  <c r="F137" i="2"/>
  <c r="F136" i="2" s="1"/>
  <c r="F135" i="2" s="1"/>
  <c r="F123" i="2" s="1"/>
  <c r="K434" i="2"/>
  <c r="K433" i="2" s="1"/>
  <c r="K277" i="2" s="1"/>
  <c r="I534" i="1"/>
  <c r="L534" i="1"/>
  <c r="L338" i="1"/>
  <c r="I339" i="1"/>
  <c r="I338" i="1" s="1"/>
  <c r="N478" i="2" l="1"/>
  <c r="N171" i="2"/>
  <c r="N59" i="2"/>
  <c r="N9" i="2" s="1"/>
  <c r="N741" i="2"/>
  <c r="F562" i="2"/>
  <c r="F561" i="2" s="1"/>
  <c r="F533" i="2" s="1"/>
  <c r="F524" i="2" s="1"/>
  <c r="F486" i="2" s="1"/>
  <c r="F478" i="2" s="1"/>
  <c r="K478" i="2"/>
  <c r="K8" i="2" s="1"/>
  <c r="F60" i="2"/>
  <c r="F59" i="2" s="1"/>
  <c r="F9" i="2" s="1"/>
  <c r="F896" i="2"/>
  <c r="F895" i="2" s="1"/>
  <c r="F758" i="2"/>
  <c r="F741" i="2" s="1"/>
  <c r="K741" i="2"/>
  <c r="L388" i="1"/>
  <c r="I388" i="1"/>
  <c r="L386" i="1"/>
  <c r="I386" i="1"/>
  <c r="L382" i="1"/>
  <c r="I382" i="1"/>
  <c r="L344" i="1"/>
  <c r="I344" i="1"/>
  <c r="L275" i="1"/>
  <c r="I275" i="1"/>
  <c r="L272" i="1"/>
  <c r="I272" i="1"/>
  <c r="L265" i="1"/>
  <c r="I265" i="1"/>
  <c r="L262" i="1"/>
  <c r="I262" i="1"/>
  <c r="N8" i="2" l="1"/>
  <c r="F8" i="2"/>
  <c r="D145" i="1"/>
  <c r="D142" i="1" s="1"/>
  <c r="D141" i="1" s="1"/>
  <c r="L130" i="1"/>
  <c r="I130" i="1"/>
  <c r="L128" i="1"/>
  <c r="I128" i="1"/>
  <c r="D95" i="1" l="1"/>
  <c r="D94" i="1" s="1"/>
  <c r="D84" i="1" s="1"/>
  <c r="D67" i="1" s="1"/>
  <c r="D8" i="1" s="1"/>
  <c r="L28" i="1"/>
  <c r="L25" i="1" s="1"/>
  <c r="L24" i="1" s="1"/>
  <c r="I28" i="1"/>
  <c r="I25" i="1" s="1"/>
  <c r="I24" i="1" s="1"/>
  <c r="L11" i="1"/>
  <c r="I11" i="1"/>
  <c r="L537" i="1" l="1"/>
  <c r="I537" i="1"/>
  <c r="L488" i="1"/>
  <c r="I488" i="1"/>
  <c r="L422" i="1"/>
  <c r="I422" i="1"/>
  <c r="L377" i="1" l="1"/>
  <c r="I377" i="1"/>
  <c r="L387" i="1"/>
  <c r="I387" i="1"/>
  <c r="L385" i="1"/>
  <c r="I385" i="1"/>
  <c r="L381" i="1"/>
  <c r="I381" i="1"/>
  <c r="L373" i="1"/>
  <c r="L372" i="1" s="1"/>
  <c r="I373" i="1"/>
  <c r="I372" i="1" s="1"/>
  <c r="L362" i="1"/>
  <c r="L361" i="1" s="1"/>
  <c r="I362" i="1"/>
  <c r="I361" i="1" s="1"/>
  <c r="L337" i="1"/>
  <c r="I337" i="1"/>
  <c r="L281" i="1"/>
  <c r="I281" i="1"/>
  <c r="L224" i="1"/>
  <c r="I224" i="1"/>
  <c r="L121" i="1"/>
  <c r="L113" i="1" s="1"/>
  <c r="I380" i="1" l="1"/>
  <c r="I376" i="1" s="1"/>
  <c r="I371" i="1" s="1"/>
  <c r="L380" i="1"/>
  <c r="L376" i="1" s="1"/>
  <c r="L371" i="1" s="1"/>
  <c r="L646" i="1" l="1"/>
  <c r="I646" i="1"/>
  <c r="L644" i="1"/>
  <c r="I644" i="1"/>
  <c r="L640" i="1"/>
  <c r="I640" i="1"/>
  <c r="L638" i="1"/>
  <c r="I638" i="1"/>
  <c r="L636" i="1"/>
  <c r="I636" i="1"/>
  <c r="L634" i="1"/>
  <c r="I634" i="1"/>
  <c r="L631" i="1"/>
  <c r="I631" i="1"/>
  <c r="L626" i="1"/>
  <c r="I626" i="1"/>
  <c r="L622" i="1"/>
  <c r="I622" i="1"/>
  <c r="L620" i="1"/>
  <c r="I620" i="1"/>
  <c r="L618" i="1"/>
  <c r="I618" i="1"/>
  <c r="L617" i="1"/>
  <c r="L615" i="1" s="1"/>
  <c r="I617" i="1"/>
  <c r="I615" i="1" s="1"/>
  <c r="L613" i="1"/>
  <c r="L611" i="1" s="1"/>
  <c r="I613" i="1"/>
  <c r="I611" i="1" s="1"/>
  <c r="L603" i="1"/>
  <c r="L600" i="1" s="1"/>
  <c r="I603" i="1"/>
  <c r="I600" i="1" s="1"/>
  <c r="L547" i="1"/>
  <c r="L546" i="1" s="1"/>
  <c r="I547" i="1"/>
  <c r="I546" i="1" s="1"/>
  <c r="L541" i="1"/>
  <c r="L540" i="1" s="1"/>
  <c r="I541" i="1"/>
  <c r="I540" i="1" s="1"/>
  <c r="L596" i="1"/>
  <c r="I596" i="1"/>
  <c r="L591" i="1"/>
  <c r="I591" i="1"/>
  <c r="L587" i="1"/>
  <c r="I587" i="1"/>
  <c r="L576" i="1"/>
  <c r="L575" i="1" s="1"/>
  <c r="L574" i="1" s="1"/>
  <c r="I576" i="1"/>
  <c r="I575" i="1" s="1"/>
  <c r="I574" i="1" s="1"/>
  <c r="L571" i="1"/>
  <c r="I571" i="1"/>
  <c r="L565" i="1"/>
  <c r="L560" i="1" s="1"/>
  <c r="I565" i="1"/>
  <c r="I560" i="1" s="1"/>
  <c r="L533" i="1"/>
  <c r="L532" i="1" s="1"/>
  <c r="I533" i="1"/>
  <c r="I532" i="1" s="1"/>
  <c r="L529" i="1"/>
  <c r="L528" i="1" s="1"/>
  <c r="I529" i="1"/>
  <c r="I528" i="1" s="1"/>
  <c r="L519" i="1"/>
  <c r="I519" i="1"/>
  <c r="L507" i="1"/>
  <c r="L506" i="1" s="1"/>
  <c r="I507" i="1"/>
  <c r="I506" i="1" s="1"/>
  <c r="L501" i="1"/>
  <c r="I501" i="1"/>
  <c r="L498" i="1"/>
  <c r="I498" i="1"/>
  <c r="L493" i="1"/>
  <c r="I493" i="1"/>
  <c r="L460" i="1"/>
  <c r="L459" i="1" s="1"/>
  <c r="L447" i="1" s="1"/>
  <c r="L421" i="1" s="1"/>
  <c r="I460" i="1"/>
  <c r="I459" i="1" s="1"/>
  <c r="I421" i="1" s="1"/>
  <c r="L415" i="1"/>
  <c r="L407" i="1" s="1"/>
  <c r="I415" i="1"/>
  <c r="I407" i="1" s="1"/>
  <c r="L401" i="1"/>
  <c r="I401" i="1"/>
  <c r="L392" i="1"/>
  <c r="I392" i="1"/>
  <c r="L360" i="1"/>
  <c r="I360" i="1"/>
  <c r="L353" i="1"/>
  <c r="L352" i="1" s="1"/>
  <c r="I353" i="1"/>
  <c r="I352" i="1" s="1"/>
  <c r="L331" i="1"/>
  <c r="L330" i="1" s="1"/>
  <c r="I331" i="1"/>
  <c r="I330" i="1" s="1"/>
  <c r="L328" i="1"/>
  <c r="L327" i="1" s="1"/>
  <c r="L326" i="1" s="1"/>
  <c r="I328" i="1"/>
  <c r="I327" i="1" s="1"/>
  <c r="I326" i="1" s="1"/>
  <c r="L319" i="1"/>
  <c r="L318" i="1" s="1"/>
  <c r="I319" i="1"/>
  <c r="I318" i="1" s="1"/>
  <c r="L295" i="1"/>
  <c r="L284" i="1" s="1"/>
  <c r="I295" i="1"/>
  <c r="I289" i="1"/>
  <c r="L276" i="1"/>
  <c r="I276" i="1"/>
  <c r="L274" i="1"/>
  <c r="L273" i="1" s="1"/>
  <c r="I274" i="1"/>
  <c r="I273" i="1" s="1"/>
  <c r="L271" i="1"/>
  <c r="L270" i="1" s="1"/>
  <c r="I271" i="1"/>
  <c r="I270" i="1" s="1"/>
  <c r="L264" i="1"/>
  <c r="L263" i="1" s="1"/>
  <c r="I264" i="1"/>
  <c r="I263" i="1" s="1"/>
  <c r="L261" i="1"/>
  <c r="L260" i="1" s="1"/>
  <c r="I261" i="1"/>
  <c r="I260" i="1" s="1"/>
  <c r="L238" i="1"/>
  <c r="L235" i="1"/>
  <c r="I235" i="1"/>
  <c r="L227" i="1"/>
  <c r="I227" i="1"/>
  <c r="L216" i="1"/>
  <c r="I216" i="1"/>
  <c r="L212" i="1"/>
  <c r="L211" i="1" s="1"/>
  <c r="I212" i="1"/>
  <c r="I211" i="1" s="1"/>
  <c r="L208" i="1"/>
  <c r="L207" i="1" s="1"/>
  <c r="I208" i="1"/>
  <c r="I207" i="1" s="1"/>
  <c r="L204" i="1"/>
  <c r="L203" i="1" s="1"/>
  <c r="I204" i="1"/>
  <c r="I203" i="1" s="1"/>
  <c r="L200" i="1"/>
  <c r="L199" i="1" s="1"/>
  <c r="I200" i="1"/>
  <c r="I199" i="1" s="1"/>
  <c r="L195" i="1"/>
  <c r="L194" i="1" s="1"/>
  <c r="I195" i="1"/>
  <c r="I194" i="1" s="1"/>
  <c r="L168" i="1"/>
  <c r="I168" i="1"/>
  <c r="L164" i="1"/>
  <c r="L157" i="1" s="1"/>
  <c r="I164" i="1"/>
  <c r="I157" i="1" s="1"/>
  <c r="L152" i="1"/>
  <c r="I152" i="1"/>
  <c r="L142" i="1"/>
  <c r="L141" i="1" s="1"/>
  <c r="I142" i="1"/>
  <c r="I141" i="1" s="1"/>
  <c r="L129" i="1"/>
  <c r="I129" i="1"/>
  <c r="L127" i="1"/>
  <c r="I127" i="1"/>
  <c r="I113" i="1"/>
  <c r="I94" i="1"/>
  <c r="L90" i="1"/>
  <c r="I90" i="1"/>
  <c r="L86" i="1"/>
  <c r="I86" i="1"/>
  <c r="L81" i="1"/>
  <c r="I81" i="1"/>
  <c r="L69" i="1"/>
  <c r="I69" i="1"/>
  <c r="L60" i="1"/>
  <c r="L59" i="1" s="1"/>
  <c r="I60" i="1"/>
  <c r="I59" i="1" s="1"/>
  <c r="L34" i="1"/>
  <c r="L33" i="1" s="1"/>
  <c r="I34" i="1"/>
  <c r="I33" i="1" s="1"/>
  <c r="L19" i="1"/>
  <c r="I19" i="1"/>
  <c r="L14" i="1"/>
  <c r="I14" i="1"/>
  <c r="I497" i="1" l="1"/>
  <c r="I496" i="1" s="1"/>
  <c r="L497" i="1"/>
  <c r="L496" i="1" s="1"/>
  <c r="I551" i="1"/>
  <c r="L551" i="1"/>
  <c r="L608" i="1"/>
  <c r="L599" i="1" s="1"/>
  <c r="I391" i="1"/>
  <c r="I284" i="1"/>
  <c r="I259" i="1" s="1"/>
  <c r="I258" i="1" s="1"/>
  <c r="I608" i="1"/>
  <c r="I599" i="1" s="1"/>
  <c r="L391" i="1"/>
  <c r="L126" i="1"/>
  <c r="L125" i="1" s="1"/>
  <c r="L85" i="1"/>
  <c r="L84" i="1" s="1"/>
  <c r="I215" i="1"/>
  <c r="D603" i="1"/>
  <c r="D600" i="1" s="1"/>
  <c r="D615" i="1"/>
  <c r="D626" i="1"/>
  <c r="L215" i="1"/>
  <c r="I126" i="1"/>
  <c r="I125" i="1" s="1"/>
  <c r="L68" i="1"/>
  <c r="I151" i="1"/>
  <c r="I406" i="1"/>
  <c r="L583" i="1"/>
  <c r="L582" i="1" s="1"/>
  <c r="L351" i="1"/>
  <c r="I10" i="1"/>
  <c r="I9" i="1" s="1"/>
  <c r="L10" i="1"/>
  <c r="L9" i="1" s="1"/>
  <c r="L406" i="1"/>
  <c r="L536" i="1"/>
  <c r="I583" i="1"/>
  <c r="I582" i="1" s="1"/>
  <c r="I198" i="1"/>
  <c r="I536" i="1"/>
  <c r="I68" i="1"/>
  <c r="L151" i="1"/>
  <c r="I463" i="1"/>
  <c r="L463" i="1"/>
  <c r="I85" i="1"/>
  <c r="L198" i="1"/>
  <c r="L259" i="1"/>
  <c r="L258" i="1" s="1"/>
  <c r="I351" i="1"/>
  <c r="L67" i="1" l="1"/>
  <c r="D608" i="1"/>
  <c r="D599" i="1" s="1"/>
  <c r="D658" i="1" s="1"/>
  <c r="L390" i="1"/>
  <c r="L389" i="1" s="1"/>
  <c r="I390" i="1"/>
  <c r="I389" i="1" s="1"/>
  <c r="I84" i="1"/>
  <c r="I67" i="1" s="1"/>
  <c r="L8" i="1" l="1"/>
  <c r="L658" i="1" s="1"/>
  <c r="L660" i="1" s="1"/>
  <c r="I8" i="1"/>
  <c r="I658" i="1" s="1"/>
  <c r="C18" i="5"/>
  <c r="C17" i="5" s="1"/>
  <c r="C16" i="5" s="1"/>
  <c r="C11" i="5" l="1"/>
  <c r="C10" i="5" s="1"/>
  <c r="C20" i="5" s="1"/>
  <c r="E16" i="5"/>
  <c r="E18" i="5"/>
  <c r="E17" i="5"/>
  <c r="D18" i="5"/>
  <c r="D17" i="5"/>
  <c r="D16" i="5"/>
  <c r="D11" i="5" l="1"/>
  <c r="D10" i="5" s="1"/>
  <c r="D20" i="5" s="1"/>
  <c r="E11" i="5"/>
  <c r="E10" i="5" s="1"/>
  <c r="E20" i="5" s="1"/>
  <c r="F909" i="2"/>
  <c r="F908" i="2" s="1"/>
  <c r="F894" i="2" s="1"/>
  <c r="F893" i="2" s="1"/>
  <c r="F922" i="2" s="1"/>
  <c r="K909" i="2"/>
  <c r="K908" i="2" s="1"/>
  <c r="K894" i="2" s="1"/>
  <c r="K893" i="2" s="1"/>
  <c r="K922" i="2" s="1"/>
  <c r="N894" i="2" l="1"/>
  <c r="N893" i="2" s="1"/>
  <c r="N922" i="2" s="1"/>
</calcChain>
</file>

<file path=xl/sharedStrings.xml><?xml version="1.0" encoding="utf-8"?>
<sst xmlns="http://schemas.openxmlformats.org/spreadsheetml/2006/main" count="3103" uniqueCount="923">
  <si>
    <t>Целевая статья</t>
  </si>
  <si>
    <t>Вид расходов</t>
  </si>
  <si>
    <t>Направление расходов (отрасль), наименование показателя</t>
  </si>
  <si>
    <t>2023 год</t>
  </si>
  <si>
    <t>2024 год</t>
  </si>
  <si>
    <t>2025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</si>
  <si>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</si>
  <si>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</si>
  <si>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</si>
  <si>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</si>
  <si>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</si>
  <si>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</si>
  <si>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01 1 10 00000</t>
  </si>
  <si>
    <t>Основное мероприятие "Обеспечение хранения архивных дел в соответствии с требованиями действующего законодательства Российской Федерации, расширение объемов архивного хранения"</t>
  </si>
  <si>
    <t>Создание электронного фонда  пользования архивных документов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</si>
  <si>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</si>
  <si>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</si>
  <si>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</si>
  <si>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</si>
  <si>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Перевод муниципальных услуг в электронный вид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</si>
  <si>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</si>
  <si>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</si>
  <si>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</si>
  <si>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</si>
  <si>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</si>
  <si>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</si>
  <si>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</si>
  <si>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</si>
  <si>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</si>
  <si>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</si>
  <si>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</si>
  <si>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</si>
  <si>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</si>
  <si>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</si>
  <si>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</si>
  <si>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</si>
  <si>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</si>
  <si>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</si>
  <si>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</si>
  <si>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01 3 10 2С050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</si>
  <si>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</si>
  <si>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</si>
  <si>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</si>
  <si>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</si>
  <si>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</si>
  <si>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</si>
  <si>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</si>
  <si>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</si>
  <si>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</si>
  <si>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</si>
  <si>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</si>
  <si>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</si>
  <si>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</si>
  <si>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</si>
  <si>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</si>
  <si>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</si>
  <si>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</si>
  <si>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</si>
  <si>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</si>
  <si>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4У091</t>
  </si>
  <si>
    <t>Изготовление символики Юсьвинского муниципального округа Пермского края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</si>
  <si>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</si>
  <si>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</si>
  <si>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</si>
  <si>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</si>
  <si>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</si>
  <si>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</si>
  <si>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</si>
  <si>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</si>
  <si>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</si>
  <si>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</si>
  <si>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</si>
  <si>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</si>
  <si>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</si>
  <si>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</si>
  <si>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</si>
  <si>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</si>
  <si>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</si>
  <si>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</si>
  <si>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</si>
  <si>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</si>
  <si>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02 1 20 00000</t>
  </si>
  <si>
    <t>Основное мероприятие "Содействие обновлению содержания образования и модернизации образовательного процесса в дошкольных образовательных учреждениях"</t>
  </si>
  <si>
    <t>02 1 20 4Н015</t>
  </si>
  <si>
    <t>Формирование развивающей  предметно-познавательной среды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</si>
  <si>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</si>
  <si>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</si>
  <si>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</si>
  <si>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</si>
  <si>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</si>
  <si>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</si>
  <si>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</si>
  <si>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</si>
  <si>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</si>
  <si>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</si>
  <si>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</si>
  <si>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</si>
  <si>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</si>
  <si>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</si>
  <si>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</si>
  <si>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</si>
  <si>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</si>
  <si>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</si>
  <si>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</si>
  <si>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</si>
  <si>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</si>
  <si>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</si>
  <si>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Предоставление мер социальной поддержки обучающимся из многодетных малоимущих семей</t>
  </si>
  <si>
    <t>02 2 20 2Н026</t>
  </si>
  <si>
    <t>Предоставление мер социальной поддержки обучающимся из малоимущих семей.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</si>
  <si>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</si>
  <si>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</si>
  <si>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</si>
  <si>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Оснащение муниципальных образовательных организаций оборудованием, средствами обученияи воспитания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</si>
  <si>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</si>
  <si>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</si>
  <si>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</si>
  <si>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</si>
  <si>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</si>
  <si>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</si>
  <si>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</si>
  <si>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Строительство интерната Майкорская ОШИ Юсьвинского муниципального округа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</si>
  <si>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</si>
  <si>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</si>
  <si>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</si>
  <si>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</si>
  <si>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</si>
  <si>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</si>
  <si>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Предоставление дополнительного образования детям в области физкультурно-спортивной  направленности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</si>
  <si>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</si>
  <si>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</si>
  <si>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</si>
  <si>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</si>
  <si>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</si>
  <si>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</si>
  <si>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</si>
  <si>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</si>
  <si>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</si>
  <si>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</si>
  <si>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</si>
  <si>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</si>
  <si>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</si>
  <si>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</si>
  <si>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</si>
  <si>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</si>
  <si>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</si>
  <si>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</si>
  <si>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</si>
  <si>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</si>
  <si>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</si>
  <si>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</si>
  <si>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</si>
  <si>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</si>
  <si>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</si>
  <si>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</si>
  <si>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</si>
  <si>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</si>
  <si>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</si>
  <si>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</si>
  <si>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</si>
  <si>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</si>
  <si>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</si>
  <si>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</si>
  <si>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</si>
  <si>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</si>
  <si>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</si>
  <si>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</si>
  <si>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</si>
  <si>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6 10 SP040</t>
  </si>
  <si>
    <t>Мероприятия по подготовке образовательных учреждений к лицензированию и устранение предписаний надзорных органов</t>
  </si>
  <si>
    <t>в том числе за счет бюджета Пермского края</t>
  </si>
  <si>
    <t>в том числе за счет местного бюджета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</si>
  <si>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</si>
  <si>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</si>
  <si>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4Н110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</si>
  <si>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</si>
  <si>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02 6 10 4Н120</t>
  </si>
  <si>
    <t>Мероприятия по подготовке образовательных учреждений к осенне-зимнему периоду</t>
  </si>
  <si>
    <t>02 6 10 4Н140</t>
  </si>
  <si>
    <t>Обеспечение антитеррористической защищенности объектов образовательных учреждений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</si>
  <si>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</si>
  <si>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Капитальный ремонт, ремонт объектов общеобразовательных организаций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</si>
  <si>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</si>
  <si>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</si>
  <si>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</si>
  <si>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</si>
  <si>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</si>
  <si>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</si>
  <si>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</si>
  <si>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</si>
  <si>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</si>
  <si>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</si>
  <si>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</si>
  <si>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</si>
  <si>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</si>
  <si>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</si>
  <si>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</si>
  <si>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</si>
  <si>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</si>
  <si>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</si>
  <si>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</si>
  <si>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</si>
  <si>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</si>
  <si>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Организация и проведение общественно-значимых мероприятий с участием инвалидов и участие в окружных и краевых мероприятиях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</si>
  <si>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</si>
  <si>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</si>
  <si>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</si>
  <si>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</si>
  <si>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</si>
  <si>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</si>
  <si>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</si>
  <si>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</si>
  <si>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Организация и проведение мероприятий по вовлечению граждан в добровольческую (волонтерскую) деятельность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</si>
  <si>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</si>
  <si>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</si>
  <si>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</si>
  <si>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</si>
  <si>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</si>
  <si>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Обеспечение жильем молодых семей</t>
  </si>
  <si>
    <t>в том числе за счет краевого бюджета</t>
  </si>
  <si>
    <t>04 0 10 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</si>
  <si>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</si>
  <si>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</si>
  <si>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</si>
  <si>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</si>
  <si>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</si>
  <si>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</si>
  <si>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</si>
  <si>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</si>
  <si>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</si>
  <si>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</si>
  <si>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</si>
  <si>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</si>
  <si>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</si>
  <si>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</si>
  <si>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04 0 60 00000</t>
  </si>
  <si>
    <t>04 0 60 4С210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</si>
  <si>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</si>
  <si>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</si>
  <si>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</si>
  <si>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Основное мероприятие "Оценка недвижимости, признание прав и регулирование отношений по  муниципальной собственности"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</si>
  <si>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</si>
  <si>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</si>
  <si>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</si>
  <si>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</si>
  <si>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</si>
  <si>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</si>
  <si>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Формирование и содержание жилых помещений маневренного фонда Юсьвинского муниципального округа Пермского края</t>
  </si>
  <si>
    <t>05 0 10 4И070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</si>
  <si>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</si>
  <si>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</si>
  <si>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</si>
  <si>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</si>
  <si>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</si>
  <si>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</si>
  <si>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</si>
  <si>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</si>
  <si>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</si>
  <si>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</si>
  <si>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</si>
  <si>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</si>
  <si>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</si>
  <si>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</si>
  <si>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</si>
  <si>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</si>
  <si>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</si>
  <si>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</si>
  <si>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</si>
  <si>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</si>
  <si>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</si>
  <si>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</si>
  <si>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</si>
  <si>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</si>
  <si>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</si>
  <si>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</si>
  <si>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</si>
  <si>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</si>
  <si>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</si>
  <si>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</si>
  <si>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</si>
  <si>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70 SР040</t>
  </si>
  <si>
    <t>Подготовка учреждений культуры к зимнему отопительному сезону в рамках 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</si>
  <si>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06 1 70 SК160</t>
  </si>
  <si>
    <t>Обеспечение музыкальными инструментами, оборудованием и материалами образовательных учреждений в сфере культуры</t>
  </si>
  <si>
    <t>06 1 70 L4670</t>
  </si>
  <si>
    <t>Развитие и укрепление материально-технической базы домов культур (и их филиалов), расположенных в населенных пунктах с численностью жителей до 50 тысяч человек</t>
  </si>
  <si>
    <t>в том числе</t>
  </si>
  <si>
    <t>Укрепление материально-технической базы домов культур (и их филиалов), расположенных в населенных пунктах с численностью жителей до 50 тысяч человек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</si>
  <si>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</si>
  <si>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70 4К090</t>
  </si>
  <si>
    <t>Приведение в нормативное состояние учреждений культуры  и образовательных учреждений в сфере культуры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</si>
  <si>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</si>
  <si>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</si>
  <si>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</si>
  <si>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</si>
  <si>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</si>
  <si>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</si>
  <si>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</si>
  <si>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</si>
  <si>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</si>
  <si>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</si>
  <si>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</si>
  <si>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</si>
  <si>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</si>
  <si>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</si>
  <si>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</si>
  <si>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</si>
  <si>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</si>
  <si>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</si>
  <si>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</si>
  <si>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</si>
  <si>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</si>
  <si>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</si>
  <si>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</si>
  <si>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</si>
  <si>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</si>
  <si>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Капитальный ремонт объектов спортивной инфраструктуры муниципального значения</t>
  </si>
  <si>
    <t>Разработка проектно-сметной докемунтации на капитальный ремонт объектов спортивной инфраструктуры муниципального значения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</si>
  <si>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</si>
  <si>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</si>
  <si>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</si>
  <si>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</si>
  <si>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</si>
  <si>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</si>
  <si>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4П010</t>
  </si>
  <si>
    <t>Изготовление и распространение наглядной печатной продукции, аудиовизовой продукции, наружной рекламы, направленных на профилактику распространения терроризма и экстремизма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</si>
  <si>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</si>
  <si>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</si>
  <si>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</si>
  <si>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</si>
  <si>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4П071</t>
  </si>
  <si>
    <t>Установка системы оповещения о возникших террористических проявлениях в месте массового пребывания людей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</si>
  <si>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</si>
  <si>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</si>
  <si>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</si>
  <si>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</si>
  <si>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</si>
  <si>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</si>
  <si>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</si>
  <si>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</si>
  <si>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Приобретение торговых прилавков для продажи сельскохозяйственной продукции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</si>
  <si>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</si>
  <si>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</si>
  <si>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</si>
  <si>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</si>
  <si>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</si>
  <si>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</si>
  <si>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</si>
  <si>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</si>
  <si>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</si>
  <si>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</si>
  <si>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</si>
  <si>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Реализация мероприятий, направленных на комплексное развитие сельских территорий</t>
  </si>
  <si>
    <t>10 1 10 L5761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</si>
  <si>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</si>
  <si>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</si>
  <si>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</si>
  <si>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10 1 20 00000</t>
  </si>
  <si>
    <t>Основное мероприятие «Комплексное развитие сельской агломерации «Юсьвинский муниципальный округ Пермского края»</t>
  </si>
  <si>
    <t>Строительство очистных сооружений в с. Юсьва Пермского края</t>
  </si>
  <si>
    <t>внебюджетные источники</t>
  </si>
  <si>
    <t>Развитие водоснабжения (строительство и реконструкция в сельской местности локальных водопроводов). Локальный водопровод в п. Майкор. 1 этап. 2 этап. 3 этап.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</si>
  <si>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</si>
  <si>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</si>
  <si>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</si>
  <si>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</si>
  <si>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</si>
  <si>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</si>
  <si>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</si>
  <si>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</si>
  <si>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</si>
  <si>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</si>
  <si>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 xml:space="preserve">10 2 20 4М093 </t>
  </si>
  <si>
    <t>10 2 30 00000</t>
  </si>
  <si>
    <t>Основное мероприятие "Мероприятия по охране окружающей среды"</t>
  </si>
  <si>
    <t xml:space="preserve">10 2 30 4М035 </t>
  </si>
  <si>
    <t>Комплекс мероприятий по закрытию и ликвидации свалок ТКО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</si>
  <si>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</si>
  <si>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</si>
  <si>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</si>
  <si>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</si>
  <si>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</si>
  <si>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</si>
  <si>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Приобретение контейнеров для сбора (складирования) твердых коммунальных отходов на контейнерных площадках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</si>
  <si>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</si>
  <si>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</si>
  <si>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</si>
  <si>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</si>
  <si>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</si>
  <si>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</si>
  <si>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</si>
  <si>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10 3 10 4М073</t>
  </si>
  <si>
    <t>Устранение аварий на коммунальных системах Юсьвинского муниципального округа Пермского края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</si>
  <si>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</si>
  <si>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</si>
  <si>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</si>
  <si>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</si>
  <si>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</si>
  <si>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10 3 30 SЖ331</t>
  </si>
  <si>
    <t>Распределительные газопроводы в п. Майкор Юсьвинского района Пермского края. 1 очередь 1 этап.Строительство распределительных газопроводов в п. Майкор Юсьвинского района Пермского края. 1 очередь. 2 этап</t>
  </si>
  <si>
    <t>10 3 30 SЖ330</t>
  </si>
  <si>
    <t>Проведение проектных работ по строительству распределительных газопроводов на территории Юсьвинского муниципального округа Пермского края</t>
  </si>
  <si>
    <t>10 3 30 SЖ520</t>
  </si>
  <si>
    <t>Улучшение качества систем теплоснабжения на территории Юсьвинского муниципального округа Пермского края</t>
  </si>
  <si>
    <t>Проектирование блочно-модульных газовых котельных</t>
  </si>
  <si>
    <t xml:space="preserve">Проведение государственной экспертизы проектной документации </t>
  </si>
  <si>
    <t>10 3 40 00000</t>
  </si>
  <si>
    <t>Основное мероприятие "Обеспечение технического развития систем теплоснабжения Юсьвинского муниципального округа Пермского края"</t>
  </si>
  <si>
    <t>10 3 50 00000</t>
  </si>
  <si>
    <t>Основное мероприятие "Прочие мероприятия в области жилищно-коммунального хозяйства"</t>
  </si>
  <si>
    <t>10 3 50 00150</t>
  </si>
  <si>
    <t>Расходы на содержание  муниципального бюджетного учреждения «Юсьвинское ЖКХ»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</si>
  <si>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</si>
  <si>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</si>
  <si>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</si>
  <si>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</si>
  <si>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</si>
  <si>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</si>
  <si>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</si>
  <si>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Паспортизация муниципальных дорог общего пользования</t>
  </si>
  <si>
    <t xml:space="preserve"> Основное мероприятие "Проектно-изыскательские работы"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</si>
  <si>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</si>
  <si>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</si>
  <si>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</si>
  <si>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</si>
  <si>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Ремонт автомобильных дорог</t>
  </si>
  <si>
    <t>11 1 40 4Д030</t>
  </si>
  <si>
    <t>11 1 40 4Д080</t>
  </si>
  <si>
    <t>Выполнение работ по строительному контролю объекта "Ремонт участка автомобильной дороги "Подъезд к с. Юсьва""</t>
  </si>
  <si>
    <t xml:space="preserve">11 1 50 00000 </t>
  </si>
  <si>
    <t>Основное мероприятие "Содержание муниципальных дорог"</t>
  </si>
  <si>
    <t>11 1 50 4Д040</t>
  </si>
  <si>
    <t>Содержание муниципальных дорог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</si>
  <si>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</si>
  <si>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</si>
  <si>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</si>
  <si>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</si>
  <si>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</si>
  <si>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</si>
  <si>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</si>
  <si>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</si>
  <si>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</si>
  <si>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Основное мероприятие "Ликвидация очагов аварийности на улично-дорожной сети и участках автомобильных дорог муниципального значения"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</si>
  <si>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</si>
  <si>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</si>
  <si>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</si>
  <si>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</si>
  <si>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</si>
  <si>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</si>
  <si>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</si>
  <si>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</si>
  <si>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</si>
  <si>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</si>
  <si>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</si>
  <si>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</si>
  <si>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</si>
  <si>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</si>
  <si>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</si>
  <si>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</si>
  <si>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 xml:space="preserve"> Мероприятия по обеспечению первичными  мерами пожарной безопасности</t>
  </si>
  <si>
    <t>13 0 20 4Ч040</t>
  </si>
  <si>
    <t xml:space="preserve"> Мероприятия по противопожарному водоснабжению Юсьвинского муниципального округа Пермского края</t>
  </si>
  <si>
    <t>13 0 20 4Ч050</t>
  </si>
  <si>
    <t>Мероприятия по предупреждению пожаров в жилых помещениях, находящихся в муниципальной собственности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</si>
  <si>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</si>
  <si>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</si>
  <si>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</si>
  <si>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</si>
  <si>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</si>
  <si>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</si>
  <si>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</si>
  <si>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</si>
  <si>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</si>
  <si>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</si>
  <si>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</si>
  <si>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</si>
  <si>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15 0 00 00000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</si>
  <si>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</si>
  <si>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</si>
  <si>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</si>
  <si>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</si>
  <si>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</si>
  <si>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>15 0 10 L5110</t>
  </si>
  <si>
    <t>Проведение комплексных кадастровых работ</t>
  </si>
  <si>
    <t>за счет средств федерального бюджета</t>
  </si>
  <si>
    <t xml:space="preserve"> за счет местного бюджета</t>
  </si>
  <si>
    <t>15 0 10 SЦ140</t>
  </si>
  <si>
    <t>15 0 10 4Г040</t>
  </si>
  <si>
    <t>Проведение работ по инвентаризации земель и регистрации прав собственности МО «Юсьвинский муниципальный округ» на земельные участки, занятые объектами недвижимости, находящимися в муниципальной собственности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</si>
  <si>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</si>
  <si>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</si>
  <si>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</si>
  <si>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</si>
  <si>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</si>
  <si>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Основное мероприятие "Подготовительные работы для реализации  мероприятий по созданию комфортной городской среды"</t>
  </si>
  <si>
    <t>Разработка проектно-сметной документации, дизайн-проектов</t>
  </si>
  <si>
    <t>Основное мероприятие "Реализация федерального проекта «Формирование комфортной городской среды"</t>
  </si>
  <si>
    <t>Благоустройство общественных и дворовых территорий Юсьвинского муниципального округа Пермского края</t>
  </si>
  <si>
    <t>Основное мероприятие "Реализация регионального проекта «Формирование современной городской среды"</t>
  </si>
  <si>
    <t>Реализация мероприятий по формированию современной городской среды (расходы, не софинансируемые из федерального бюджета)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</si>
  <si>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</si>
  <si>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</si>
  <si>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</si>
  <si>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</si>
  <si>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</si>
  <si>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</si>
  <si>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</si>
  <si>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</si>
  <si>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Расходы на обеспечение деятельности Аппарата  Думы Юсьвинского муниципального округа Пермского края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</si>
  <si>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</si>
  <si>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</si>
  <si>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</si>
  <si>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</si>
  <si>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</si>
  <si>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</si>
  <si>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</si>
  <si>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Расходы на обеспечение деятельности  муниципального казенного учреждения «Единый учетный центр»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</si>
  <si>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</si>
  <si>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</si>
  <si>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</si>
  <si>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</si>
  <si>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</si>
  <si>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</si>
  <si>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</si>
  <si>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</si>
  <si>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</si>
  <si>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92 0 00 00230</t>
  </si>
  <si>
    <t>Исполнение решений судов, вступивших в законную силу, и оплата государственной пошлины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</si>
  <si>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</si>
  <si>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</si>
  <si>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</si>
  <si>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</si>
  <si>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</si>
  <si>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</si>
  <si>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</si>
  <si>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</si>
  <si>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</si>
  <si>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</si>
  <si>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</si>
  <si>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</si>
  <si>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92 0 00 00398</t>
  </si>
  <si>
    <t>Подготовка рабочей документации по объекту "Строительство школьного образовательного учреждения на 60 мест в с.Доег Юсьвинского муниципального округа"</t>
  </si>
  <si>
    <t>Итого расходов:</t>
  </si>
  <si>
    <t>01 1 10 4У012</t>
  </si>
  <si>
    <t>01 1 20 4У021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</si>
  <si>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</si>
  <si>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</si>
  <si>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2Н420</t>
  </si>
  <si>
    <t>02 2 30 4Н200</t>
  </si>
  <si>
    <t>Проектирование объекта "Строительство интерната Майкорской ОШИ Юсьвинского муниципального округа"</t>
  </si>
  <si>
    <t>02 2 30 SН071</t>
  </si>
  <si>
    <t>Предоставление дополнительного образования детей неспортивной направленности</t>
  </si>
  <si>
    <t>02 3 10 4Н068</t>
  </si>
  <si>
    <t>02 6 10 4Н151</t>
  </si>
  <si>
    <t>03 4 00 00000</t>
  </si>
  <si>
    <t>03 4 10 00000</t>
  </si>
  <si>
    <t>Проведение мероприятий по содержанию имущества муниципальной казны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</si>
  <si>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</si>
  <si>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</si>
  <si>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</si>
  <si>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</si>
  <si>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Мероприятия, обеспечивающие кадровую политику в сфере культуры и искусства</t>
  </si>
  <si>
    <t>07 0 30 00000</t>
  </si>
  <si>
    <t>Основное мероприятие "Капитальный ремонт объектов спортивной инфраструктуры муниципального значения"</t>
  </si>
  <si>
    <t>07 0 30 SФ350</t>
  </si>
  <si>
    <t>07 0 30 4Ф350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</si>
  <si>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</si>
  <si>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</si>
  <si>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</si>
  <si>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</si>
  <si>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</si>
  <si>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</si>
  <si>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09 1 40 00000</t>
  </si>
  <si>
    <t>Основное мероприятие "Организация мероприятий для обеспечения жителей Юсьвинского муниципального округа Пермского края услугами торговли, общественного питания, бытового обслуживания и сельскохозяйственной продукцией"</t>
  </si>
  <si>
    <t>09 1 40 4Э060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</si>
  <si>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</si>
  <si>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</si>
  <si>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</si>
  <si>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</si>
  <si>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</si>
  <si>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</si>
  <si>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</si>
  <si>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</si>
  <si>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</si>
  <si>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10 1 20 L5767</t>
  </si>
  <si>
    <t>Обустройство тротуаров в населенных пунктах Юсьвинского муниципального округа Пермского края</t>
  </si>
  <si>
    <t>10 2 30 4М041</t>
  </si>
  <si>
    <t>10 2 40 SУ200</t>
  </si>
  <si>
    <t>Реализация мероприятий по предотвращению распространения и уничтожению борщевика Сосновского в Юсьвинском муниципальном округе Пермского края</t>
  </si>
  <si>
    <t>10 3 10 4М075</t>
  </si>
  <si>
    <t>10 3 30 4М082</t>
  </si>
  <si>
    <t>10 3 30 4М083</t>
  </si>
  <si>
    <t>10 3 30 4М084</t>
  </si>
  <si>
    <t>10 3 40 4М085</t>
  </si>
  <si>
    <t>11 1 40 4Д031</t>
  </si>
  <si>
    <t>Восстановление мостов и труб</t>
  </si>
  <si>
    <t>11 1 20 00000</t>
  </si>
  <si>
    <t>11 1 20 4Д020</t>
  </si>
  <si>
    <t>Замена  и установка  барьерных ограждений, автобусных остановок, недостающих дорожных знаков, информационных щитов, светофоров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</si>
  <si>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</si>
  <si>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</si>
  <si>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</si>
  <si>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</si>
  <si>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</si>
  <si>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</si>
  <si>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</si>
  <si>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14 2 10 SЖ160</t>
  </si>
  <si>
    <t>14 2 10 00000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</si>
  <si>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</si>
  <si>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</si>
  <si>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</si>
  <si>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Ремонт автомобильных дорог (несофинансируемые из краевого бюджета)</t>
  </si>
  <si>
    <t>Ведомство</t>
  </si>
  <si>
    <t>Раздел, подраздел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</si>
  <si>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</si>
  <si>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</si>
  <si>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</si>
  <si>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</si>
  <si>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</si>
  <si>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</si>
  <si>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</si>
  <si>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</si>
  <si>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</si>
  <si>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0105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</si>
  <si>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</si>
  <si>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</si>
  <si>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</si>
  <si>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0113</t>
  </si>
  <si>
    <t>Другие общегосударственные расходы</t>
  </si>
  <si>
    <t>0200</t>
  </si>
  <si>
    <t>Национальная оборона</t>
  </si>
  <si>
    <t>0203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</si>
  <si>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</si>
  <si>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</si>
  <si>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</si>
  <si>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</si>
  <si>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</si>
  <si>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</si>
  <si>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</si>
  <si>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</si>
  <si>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</si>
  <si>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</si>
  <si>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</si>
  <si>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</si>
  <si>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</si>
  <si>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</si>
  <si>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</si>
  <si>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</si>
  <si>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</si>
  <si>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</si>
  <si>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</si>
  <si>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</si>
  <si>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</si>
  <si>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</si>
  <si>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</si>
  <si>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</si>
  <si>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</si>
  <si>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</si>
  <si>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</si>
  <si>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Основное мероприятие "Оценка недвижимости, признание прав и регулирование отношений по муниципальной собственности"</t>
  </si>
  <si>
    <t>0502</t>
  </si>
  <si>
    <t>Коммунальное хозяйство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</si>
  <si>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</si>
  <si>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0503</t>
  </si>
  <si>
    <t>Благоустройство</t>
  </si>
  <si>
    <t>0505</t>
  </si>
  <si>
    <t>Другие расходы в области жилищно-коммунального хозяйства</t>
  </si>
  <si>
    <t>0700</t>
  </si>
  <si>
    <t>Образование</t>
  </si>
  <si>
    <t>0702</t>
  </si>
  <si>
    <t>Общее образование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</si>
  <si>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</si>
  <si>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</si>
  <si>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</si>
  <si>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</si>
  <si>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</si>
  <si>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</si>
  <si>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</si>
  <si>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</si>
  <si>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</si>
  <si>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</si>
  <si>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</si>
  <si>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</si>
  <si>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0703</t>
  </si>
  <si>
    <t>Дополнительное образование детей</t>
  </si>
  <si>
    <t>0709</t>
  </si>
  <si>
    <t>Другие вопросы в области образования</t>
  </si>
  <si>
    <t>0707</t>
  </si>
  <si>
    <t>00 0  00 00000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</si>
  <si>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</si>
  <si>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</si>
  <si>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</si>
  <si>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</si>
  <si>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Развитие и укрепление 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</si>
  <si>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</si>
  <si>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</si>
  <si>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</si>
  <si>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</si>
  <si>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</si>
  <si>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</si>
  <si>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</si>
  <si>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</si>
  <si>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</si>
  <si>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</si>
  <si>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</si>
  <si>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</si>
  <si>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</si>
  <si>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</si>
  <si>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</si>
  <si>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</si>
  <si>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</si>
  <si>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</si>
  <si>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2023-2025 годы</t>
  </si>
  <si>
    <t>Приложение 1</t>
  </si>
  <si>
    <t>Приложение 2</t>
  </si>
  <si>
    <t>к решению Думы Юсьвинского</t>
  </si>
  <si>
    <t>№ п/п</t>
  </si>
  <si>
    <t>средства краевого бюджета</t>
  </si>
  <si>
    <t>средства местного бюджета</t>
  </si>
  <si>
    <t>Приложение 5</t>
  </si>
  <si>
    <t>муниципального округа Пермского края</t>
  </si>
  <si>
    <t>(тыс.руб.)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</si>
  <si>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</si>
  <si>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</si>
  <si>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</si>
  <si>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</si>
  <si>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</si>
  <si>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</si>
  <si>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</si>
  <si>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</si>
  <si>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</si>
  <si>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</si>
  <si>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</si>
  <si>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</si>
  <si>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</si>
  <si>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</si>
  <si>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</si>
  <si>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</si>
  <si>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</si>
  <si>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</si>
  <si>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</si>
  <si>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</si>
  <si>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</si>
  <si>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</si>
  <si>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</si>
  <si>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>Ведомственная структура расходов Юсьвинского муниципального округа Пермского края  на 2023 год и на плановый период 2024-2025 годы</t>
  </si>
  <si>
    <t>Источники финансирования дефицита бюджета Юсьвинского муниципального округа Пермского края на 2023 год и на плановый период 2024 и 2025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</si>
  <si>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</si>
  <si>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</si>
  <si>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</si>
  <si>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</si>
  <si>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</si>
  <si>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Общегосударственные вопросы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</si>
  <si>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</si>
  <si>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</si>
  <si>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Снос расселенных домов после расселения жителей из труднодоступных, отдаленных и малочисленных населенных пунктов</t>
  </si>
  <si>
    <t>Основное мероприятие "Реализация мероприятий по переселению жителей Пермского края в целях создания условий для их комфортного проживания"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</si>
  <si>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</si>
  <si>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</si>
  <si>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</si>
  <si>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Реализация проектов инициативного бюджетирования</t>
  </si>
  <si>
    <t xml:space="preserve">10 2 20 SP080 </t>
  </si>
  <si>
    <t>07 0 10 SФ320</t>
  </si>
  <si>
    <t>Реализация мероприятия "Умею плавать!"</t>
  </si>
  <si>
    <t xml:space="preserve">91 0 00 00032 </t>
  </si>
  <si>
    <t>Расходы, связанные с созданием официальной страницы для размещения информации о деятельности Думы Юсьвинского муниципального округа Пермского края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</si>
  <si>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</si>
  <si>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</si>
  <si>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изменения</t>
  </si>
  <si>
    <t>02 6 10 SP350</t>
  </si>
  <si>
    <t>06 1 70 4К170</t>
  </si>
  <si>
    <t>Предпроектное обследование мостового перехода через р.Иньва и р.Купросска автомобильной дороги "Габово-Купрос" - участок "Евсино-Купрос"</t>
  </si>
  <si>
    <t>11 1 20 4Д021</t>
  </si>
  <si>
    <t>11 1 40 4Д090</t>
  </si>
  <si>
    <t>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</si>
  <si>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</si>
  <si>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</si>
  <si>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</si>
  <si>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02 2 30 SН072</t>
  </si>
  <si>
    <t>Государственная поддержка лучших работников сельских учреждений  культуры</t>
  </si>
  <si>
    <t>06 1 А2 55195</t>
  </si>
  <si>
    <t>06 1 А2 55196</t>
  </si>
  <si>
    <t>Государственная поддержка лучших сельских учреждений  культуры</t>
  </si>
  <si>
    <t>92 0 00 00400</t>
  </si>
  <si>
    <t>Осуществление технологического присоединения к электрическим сетям здания школьного образовательного учреждения на 60 мест в с.Доег Юсьвинского муниципального округа</t>
  </si>
  <si>
    <t>05 0 10 4И050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</si>
  <si>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</si>
  <si>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Приобретение (выкуп) в муниципальную собственность объектов недвижимости с целью выполнения полномочий Юсьвинского муниципального округа Пермского края</t>
  </si>
  <si>
    <t>Выполнение работ по строительному контролю объекта "Ремонт участка автомобильной дороги "Подъезд к с. Юсьва"</t>
  </si>
  <si>
    <t>Молодежная политика</t>
  </si>
  <si>
    <t>Строительство Купросского сельского дома культуры на 50 мест в с. Купрос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</si>
  <si>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</si>
  <si>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</si>
  <si>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</si>
  <si>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</si>
  <si>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06 1 70 SР350</t>
  </si>
  <si>
    <t>Реализация приоритетного проекта "Новый клуб" программы "Комфортный край"</t>
  </si>
  <si>
    <t>Реализация приоритетного проекта "Школьный двор" программы "Комфортный край"</t>
  </si>
  <si>
    <t xml:space="preserve">Благоустройство территорий образовательных учреждений </t>
  </si>
  <si>
    <t>02 6 10 4Н152</t>
  </si>
  <si>
    <t>Разработка ПСД на капитальный ремонт объектов общеобразовательных организаций</t>
  </si>
  <si>
    <t>10 2 20 4М094</t>
  </si>
  <si>
    <t>Благоустройство Крохалевского кладбища</t>
  </si>
  <si>
    <t>10 2 20 4М095</t>
  </si>
  <si>
    <t>Расчистка и углубление осушительной водоотводной канавы в с.Юсьва</t>
  </si>
  <si>
    <t>0900</t>
  </si>
  <si>
    <t>Здравоохранение</t>
  </si>
  <si>
    <t>0902</t>
  </si>
  <si>
    <t>Амбулаторная помощь</t>
  </si>
  <si>
    <t>Непрограмные мероприятия</t>
  </si>
  <si>
    <t>92 0 00 00180</t>
  </si>
  <si>
    <t>Составление ЛСР на выполнение работ по благоустройству и присоединению модульных ФАП к инженерным сетям</t>
  </si>
  <si>
    <t>Закупка товаров, работ и услуг для государственных (муниципальных) нужд</t>
  </si>
  <si>
    <t>05 0 10 SP250</t>
  </si>
  <si>
    <t>Оборудование учреждений социальной сферы инженерно-техническими средствами защиты и системой охраны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</si>
  <si>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</si>
  <si>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Установка жаротрубного котла КВр-2.0 для котельной по адресу: п.Пожва, ул.Судомеханическая, 9ж</t>
  </si>
  <si>
    <t>10 3 40 4М051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</si>
  <si>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</si>
  <si>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06 1 20 4К050</t>
  </si>
  <si>
    <t>10 2 30 4М042</t>
  </si>
  <si>
    <t>Лабораторные исследования питьевой воды на скважине школы в с.Доег</t>
  </si>
  <si>
    <t>92 0 00 00222</t>
  </si>
  <si>
    <t>Приобретение сжиженного газа в целях осуществления  централизованного газоснабжения многоквартирных домов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</si>
  <si>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</si>
  <si>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</si>
  <si>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Приведение в нормативное состояние искусственных дорожных сооружений</t>
  </si>
  <si>
    <t>11 1 R1 53940</t>
  </si>
  <si>
    <t>Разработка локально-сметного расчета при создании модельной муниципальной  библиотеки</t>
  </si>
  <si>
    <t>Мероприятия по подготовке к пуску газа</t>
  </si>
  <si>
    <t>Мероприятия по подготовке к пуску газа в п. Майкор</t>
  </si>
  <si>
    <t>Государственная экспертиза проектной документации</t>
  </si>
  <si>
    <t>92 0 00 00410</t>
  </si>
  <si>
    <t>10 2 20 4М096</t>
  </si>
  <si>
    <t>Организация адресного хозяйства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</si>
  <si>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  (расходы, не софинансируемые из краевого бюджета)</t>
  </si>
  <si>
    <t>07 0 20  4Ф130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</si>
  <si>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</si>
  <si>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"Содержание муниципального имущества, кадастровый учет жилых и нежилых помещений, автомобильных дорог, снос расселенных жилых домов и нежилых зданий (сооружений), находящихся в муниципальной собственности, признание прав и регулирование отношений по муниципальной собственности"</t>
  </si>
  <si>
    <t>Приложение 4</t>
  </si>
  <si>
    <t xml:space="preserve"> </t>
  </si>
  <si>
    <t>Распределение средств дорожного фонда Юсьвинского муниципального округа  Пермского края на 2023 год и на плановый период 2024-2025 годы</t>
  </si>
  <si>
    <t>Наименование направлений расходов</t>
  </si>
  <si>
    <t>Сумма (тыс.руб.)</t>
  </si>
  <si>
    <t>средства федерального бюджета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</si>
  <si>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</si>
  <si>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</si>
  <si>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</si>
  <si>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</si>
  <si>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</si>
  <si>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</si>
  <si>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"Паспортизация муниципальных дорог общего пользования"</t>
  </si>
  <si>
    <t>1.1.2.</t>
  </si>
  <si>
    <t xml:space="preserve">Основное мероприятие "Проектно-изыскательские работы" 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</si>
  <si>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</si>
  <si>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1.1.3.</t>
  </si>
  <si>
    <t>Основное мероприятие. «Ремонт муниципальных дорог и искусственных дорожных сооружений»</t>
  </si>
  <si>
    <t>Мероприятие "Ремонт автомобильных дорог"</t>
  </si>
  <si>
    <t>Ремонт муниципальных автомобильных дорог между населенными пунктами</t>
  </si>
  <si>
    <t>Ремонт участка автомобильной дороги «Подъезд к с. Юсьва» км 000+007 – км 001+094</t>
  </si>
  <si>
    <t>Ремонт участка автомобильной дороги «Пожва-Усть-Пожва» км 000+001 – км 001+742</t>
  </si>
  <si>
    <t>Ремонт участка автомобильной дороги"Кудымкар-Пожва-Алешино" км 000+000 - 000+600</t>
  </si>
  <si>
    <t>Ремонт автомобильной дороги по ул. Полевая д. Кузьмино</t>
  </si>
  <si>
    <t>Ремонт автомобильной дороги по ул. Луговая д. Симянково</t>
  </si>
  <si>
    <t>Ремонт автомобильной дороги по ул. Стрительная п. Пожва</t>
  </si>
  <si>
    <t>Ремонт автомобильной дороги по ул. Центральная (от дома №16 до дома №23) д. Секово</t>
  </si>
  <si>
    <t>Ремонт автомобильной дороги по ул. Загорная (от дома №2 до дома №12) д. Загарье</t>
  </si>
  <si>
    <t>Ремонт автомобильной дороги по ул. Набережная с. Они</t>
  </si>
  <si>
    <t>Ремонт автомобильной дороги по ул. Молодежная с. Купрос</t>
  </si>
  <si>
    <t>Ремонт автомобильной дороги по ул. Ломоносова п. Майкор</t>
  </si>
  <si>
    <t>Ремонт автомобильных дорог по улицам: Октябрьская (от ул. Коммунистическая до ул. Советская), Ошмарина п. Майкор</t>
  </si>
  <si>
    <t>Ремонт авомобильных дорог по улицам Школьная, Энтузиастов с. Юсьва</t>
  </si>
  <si>
    <t>Ремонт автомобильных дорог по улицам: ул. Нагорная (от дома №2 до дома №10), Подгорная (от автомобильной дороги "Кудымкар-Пожва" до ул. Полевая) д. Трифаново</t>
  </si>
  <si>
    <t>Ремонт автомобильной дороги "Доег-Пет-Бор"</t>
  </si>
  <si>
    <t xml:space="preserve">Мероприятие "Ремонт автомобильных дорог (несофинансируемые из краевого бюджета)" </t>
  </si>
  <si>
    <t>Ремонт автомобильной дороги «Асаново-Белюково-Пахомово» км 0+550  - км 1+050</t>
  </si>
  <si>
    <t>Ремонт подъезда к кладбищу с. Они</t>
  </si>
  <si>
    <t>Ремонт участка автомобильной дороги "Сивашер-Обирино-Сыскино" км 3+005- км 3+355</t>
  </si>
  <si>
    <t xml:space="preserve">Восстановление поперечного профиля и ровности проезжей части гравийного покрытия участка автомобильной дороги по ул. Поселковая (от д. №7 до д. №16) д. Баранчиново, по ул. Восточная (от ул. Попова до д. № 32) с. Юсьва </t>
  </si>
  <si>
    <t xml:space="preserve">Восстановление поперечного профиля и ровности проезжей части переходного типа покрытия на участках автомобильной дороги по ул. Челюскинцев с. Юсьва </t>
  </si>
  <si>
    <t>Ремонт участка автомобильной дороги по ул. Верхняя (от ручья до границ населенного пункта) с. Они</t>
  </si>
  <si>
    <t>Мероприятие "Восстановление труб и мостов"</t>
  </si>
  <si>
    <t>Ремонт моста через р. Октасшор на автомобильной дороге «Доег-Пет-Бор»</t>
  </si>
  <si>
    <t>Ремонт моста через р. Кичашор автомобильной дороги "Габово-Купрос"</t>
  </si>
  <si>
    <t>Ремонт моста через ручей на автомобильной дороге по ул. Центральная д. Жуково</t>
  </si>
  <si>
    <t>Ремонт моста через р. Ык на автомобильной "Габово-Купрос"</t>
  </si>
  <si>
    <t>Демонтаж разрушенных элементов проезжей части моста на участке автомобильной дороги "Габово-Купрос" км 2+778</t>
  </si>
  <si>
    <t>Ремонт водопропускной трубы на автомобильной дороге "Кудымкар-Пожва-Дубленово"</t>
  </si>
  <si>
    <t>Восстановление водопропускных труб по ул. Свободы с. Юсьва, Антипино-Казенная, Купрос-Якино, Антипино-Дмитриево,  ул. Горковская п. Горки, Доег-Пет-Бор</t>
  </si>
  <si>
    <t>Ремонт водопропускной трубы по ул. Центральная д. Швычи</t>
  </si>
  <si>
    <t>Ремонт водопропускной трубы по ул. Студенческая (пересечение с ул. Больничная) с. Юсьва</t>
  </si>
  <si>
    <t>Ремонт моста через ручей на автомобильной дороге "Доег-Пет-Бор" км 1+554</t>
  </si>
  <si>
    <t>Ремонт водопропускных труб на автомобильных дорогах: "Кудымкар-Пожва-Дубленово", "Пожва-Усть-Пожва", ул. Верхняя с. Они</t>
  </si>
  <si>
    <t>Ремонт моста в д. Ивучево</t>
  </si>
  <si>
    <t>Ремонт моста на автомобильной дороге «Сивашер-Обирино»</t>
  </si>
  <si>
    <t>Ремонт моста в по ул. Паньковская с. Юсьва</t>
  </si>
  <si>
    <t>Мероприятие "Выполнение работ по строительному контролю объекта "Ремонт участка автомобильной дороги "Подъезд к с. Юсьва""</t>
  </si>
  <si>
    <t>Мероприятие "Выполнение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</si>
  <si>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1.1.4.</t>
  </si>
  <si>
    <t>Мероприятие "Содержание муниципальных дорог"</t>
  </si>
  <si>
    <t>1.1.5.</t>
  </si>
  <si>
    <t>Мероприятие "Приведение в нормативное состояние искусственных дорожных сооружений"</t>
  </si>
  <si>
    <t>Капитальный ремонт моста в п. Майкор</t>
  </si>
  <si>
    <t>Ремонт моста через р. Купроска на автомобильной "Габово-Купрос" участок "Евсино-Купрос"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</si>
  <si>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</si>
  <si>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</si>
  <si>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</si>
  <si>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Основное мероприятие "Развитие системы организации движения и повышение безопасности дорожного движения на автомобильных дорогах"</t>
  </si>
  <si>
    <t>Мероприятие. Замена и установка барьерных ограждений, автобусных остановок, недостающих дорожных знаков, информационных щитов, светофоров</t>
  </si>
  <si>
    <t>Устройство барьерного ограждения на автомобильных дорогах «Пожва-Е.Пожва», "Подъед к пристани Пожва"</t>
  </si>
  <si>
    <t>Восстановление барьерного ограждения на участке автомобильной дороги по ул. Свободы п. Пожва</t>
  </si>
  <si>
    <t>Устройство искусственной дорожной неровности по ул. Красноармейская с.Юсьва (МБ ДО ДЮСШ «СПАРТ»)</t>
  </si>
  <si>
    <t>Ремонт кровли на автопавильонах автомобильной дороги "Подъезд к с. Юсьва"</t>
  </si>
  <si>
    <t>Ремонт автомобильных дорог по улице Центральная (от дома №3 до дома №5, от дома №41 до дома №51) д.Федотово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</si>
  <si>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</si>
  <si>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</si>
  <si>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Установка новогодних елей на территории Юсьвинского муниципального округа Пермского края</t>
  </si>
  <si>
    <t>92 0 00 00420</t>
  </si>
  <si>
    <t xml:space="preserve">2023 год </t>
  </si>
  <si>
    <t xml:space="preserve">2025 год </t>
  </si>
  <si>
    <t>от 21.12.2023 № 570</t>
  </si>
  <si>
    <t>от 21.12.2023 №570</t>
  </si>
  <si>
    <t xml:space="preserve">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</si>
</sst>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#,##0.00000"/>
    <numFmt numFmtId="169" formatCode="0.00000"/>
  </numFmts>
  <fonts count="8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63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6" fillId="15" borderId="0" applyNumberFormat="0" applyBorder="0" applyAlignment="0" applyProtection="0"/>
  </cellStyleXfs>
  <cellXfs count="313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vertical="top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7" fillId="2" borderId="0" xfId="1" applyFont="1" applyFill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164" fontId="2" fillId="0" borderId="0" xfId="1" applyNumberFormat="1" applyFont="1"/>
    <xf numFmtId="164" fontId="3" fillId="2" borderId="0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164" fontId="58" fillId="0" borderId="0" xfId="0" applyNumberFormat="1" applyFont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0" fontId="58" fillId="0" borderId="0" xfId="0" applyFont="1" applyAlignme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5" fillId="0" borderId="2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58" fillId="0" borderId="0" xfId="0" applyFont="1" applyBorder="1"/>
    <xf numFmtId="0" fontId="58" fillId="2" borderId="0" xfId="0" applyFont="1" applyFill="1" applyBorder="1"/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2" fillId="0" borderId="0" xfId="1" applyFont="1"/>
    <xf numFmtId="0" fontId="3" fillId="2" borderId="2" xfId="2" applyNumberFormat="1" applyFont="1" applyFill="1" applyBorder="1" applyAlignment="1">
      <alignment horizontal="left" vertical="top" wrapText="1"/>
    </xf>
    <xf numFmtId="49" fontId="6" fillId="5" borderId="2" xfId="1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58" fillId="0" borderId="2" xfId="0" applyFont="1" applyBorder="1"/>
    <xf numFmtId="0" fontId="58" fillId="2" borderId="2" xfId="0" applyFont="1" applyFill="1" applyBorder="1"/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wrapText="1"/>
    </xf>
    <xf numFmtId="0" fontId="60" fillId="0" borderId="2" xfId="0" applyFont="1" applyBorder="1"/>
    <xf numFmtId="0" fontId="6" fillId="2" borderId="2" xfId="1" applyFont="1" applyFill="1" applyBorder="1" applyAlignment="1">
      <alignment horizontal="left" vertical="top" wrapText="1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wrapText="1"/>
    </xf>
    <xf numFmtId="0" fontId="6" fillId="66" borderId="2" xfId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vertical="top" wrapText="1"/>
    </xf>
    <xf numFmtId="0" fontId="6" fillId="67" borderId="2" xfId="1" applyFont="1" applyFill="1" applyBorder="1" applyAlignment="1">
      <alignment horizontal="center" vertical="top" wrapText="1"/>
    </xf>
    <xf numFmtId="49" fontId="6" fillId="67" borderId="2" xfId="1" applyNumberFormat="1" applyFont="1" applyFill="1" applyBorder="1" applyAlignment="1">
      <alignment horizontal="center" vertical="top" wrapText="1"/>
    </xf>
    <xf numFmtId="0" fontId="6" fillId="67" borderId="2" xfId="1" applyNumberFormat="1" applyFont="1" applyFill="1" applyBorder="1" applyAlignment="1">
      <alignment horizontal="center" vertical="top" wrapText="1"/>
    </xf>
    <xf numFmtId="0" fontId="6" fillId="67" borderId="2" xfId="1" applyFont="1" applyFill="1" applyBorder="1" applyAlignment="1">
      <alignment vertical="top" wrapText="1"/>
    </xf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horizontal="left" vertical="top" wrapText="1"/>
    </xf>
    <xf numFmtId="0" fontId="62" fillId="0" borderId="0" xfId="0" applyFont="1"/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60" fillId="2" borderId="2" xfId="0" applyFont="1" applyFill="1" applyBorder="1"/>
    <xf numFmtId="0" fontId="57" fillId="2" borderId="0" xfId="1" applyFont="1" applyFill="1" applyAlignment="1">
      <alignment horizontal="right" vertical="center"/>
    </xf>
    <xf numFmtId="0" fontId="63" fillId="0" borderId="0" xfId="0" applyFont="1" applyAlignment="1">
      <alignment horizontal="right"/>
    </xf>
    <xf numFmtId="0" fontId="3" fillId="0" borderId="0" xfId="1" applyFont="1" applyFill="1" applyBorder="1" applyAlignment="1">
      <alignment vertical="center"/>
    </xf>
    <xf numFmtId="0" fontId="57" fillId="2" borderId="0" xfId="1" applyFont="1" applyFill="1" applyAlignment="1">
      <alignment vertical="center"/>
    </xf>
    <xf numFmtId="0" fontId="63" fillId="0" borderId="0" xfId="0" applyFont="1" applyAlignment="1"/>
    <xf numFmtId="0" fontId="65" fillId="0" borderId="0" xfId="0" applyFont="1"/>
    <xf numFmtId="0" fontId="3" fillId="2" borderId="0" xfId="1" applyFont="1" applyFill="1" applyAlignment="1">
      <alignment vertical="center" wrapText="1"/>
    </xf>
    <xf numFmtId="0" fontId="65" fillId="0" borderId="0" xfId="0" applyFont="1" applyAlignment="1"/>
    <xf numFmtId="0" fontId="65" fillId="0" borderId="0" xfId="0" applyFont="1" applyAlignment="1">
      <alignment horizontal="center"/>
    </xf>
    <xf numFmtId="0" fontId="65" fillId="0" borderId="2" xfId="0" applyFont="1" applyBorder="1" applyAlignment="1">
      <alignment horizontal="center"/>
    </xf>
    <xf numFmtId="0" fontId="67" fillId="0" borderId="2" xfId="0" applyFont="1" applyBorder="1" applyAlignment="1">
      <alignment horizontal="center"/>
    </xf>
    <xf numFmtId="0" fontId="67" fillId="0" borderId="2" xfId="0" applyFont="1" applyBorder="1" applyAlignment="1">
      <alignment horizontal="center" vertical="center" wrapText="1"/>
    </xf>
    <xf numFmtId="0" fontId="65" fillId="0" borderId="2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/>
    </xf>
    <xf numFmtId="0" fontId="68" fillId="0" borderId="2" xfId="0" applyFont="1" applyBorder="1" applyAlignment="1">
      <alignment horizontal="center" wrapText="1"/>
    </xf>
    <xf numFmtId="0" fontId="68" fillId="0" borderId="2" xfId="0" applyFont="1" applyBorder="1" applyAlignment="1">
      <alignment horizontal="center" vertical="center" wrapText="1"/>
    </xf>
    <xf numFmtId="0" fontId="58" fillId="7" borderId="2" xfId="0" applyFont="1" applyFill="1" applyBorder="1"/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0" fontId="58" fillId="0" borderId="0" xfId="0" applyFont="1" applyAlignment="1">
      <alignment horizontal="center"/>
    </xf>
    <xf numFmtId="0" fontId="58" fillId="5" borderId="2" xfId="0" applyFont="1" applyFill="1" applyBorder="1"/>
    <xf numFmtId="168" fontId="3" fillId="0" borderId="2" xfId="1" applyNumberFormat="1" applyFont="1" applyFill="1" applyBorder="1" applyAlignment="1">
      <alignment horizontal="center" vertical="top" wrapText="1"/>
    </xf>
    <xf numFmtId="168" fontId="3" fillId="5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66" borderId="2" xfId="1" applyNumberFormat="1" applyFont="1" applyFill="1" applyBorder="1" applyAlignment="1">
      <alignment horizontal="center" vertical="top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0" fontId="66" fillId="2" borderId="0" xfId="1" applyFont="1" applyFill="1" applyAlignment="1">
      <alignment horizontal="right" vertical="center"/>
    </xf>
    <xf numFmtId="0" fontId="57" fillId="0" borderId="0" xfId="1" applyFont="1" applyAlignment="1"/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center" wrapText="1"/>
    </xf>
    <xf numFmtId="168" fontId="3" fillId="0" borderId="2" xfId="1" applyNumberFormat="1" applyFont="1" applyFill="1" applyBorder="1" applyAlignment="1">
      <alignment horizontal="center" vertical="center" wrapText="1"/>
    </xf>
    <xf numFmtId="168" fontId="5" fillId="2" borderId="2" xfId="1" applyNumberFormat="1" applyFont="1" applyFill="1" applyBorder="1" applyAlignment="1">
      <alignment horizontal="center" vertical="top" wrapText="1"/>
    </xf>
    <xf numFmtId="168" fontId="3" fillId="5" borderId="2" xfId="1" applyNumberFormat="1" applyFont="1" applyFill="1" applyBorder="1" applyAlignment="1">
      <alignment horizontal="center" wrapText="1"/>
    </xf>
    <xf numFmtId="168" fontId="6" fillId="5" borderId="2" xfId="0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168" fontId="6" fillId="0" borderId="2" xfId="1" applyNumberFormat="1" applyFont="1" applyFill="1" applyBorder="1" applyAlignment="1">
      <alignment horizontal="center" wrapText="1"/>
    </xf>
    <xf numFmtId="168" fontId="6" fillId="2" borderId="2" xfId="1" applyNumberFormat="1" applyFont="1" applyFill="1" applyBorder="1" applyAlignment="1">
      <alignment horizontal="center"/>
    </xf>
    <xf numFmtId="168" fontId="6" fillId="67" borderId="2" xfId="1" applyNumberFormat="1" applyFont="1" applyFill="1" applyBorder="1" applyAlignment="1">
      <alignment horizontal="center" vertical="top" wrapText="1"/>
    </xf>
    <xf numFmtId="168" fontId="6" fillId="68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vertical="top" wrapText="1"/>
    </xf>
    <xf numFmtId="168" fontId="67" fillId="0" borderId="2" xfId="0" applyNumberFormat="1" applyFont="1" applyBorder="1" applyAlignment="1">
      <alignment horizontal="center"/>
    </xf>
    <xf numFmtId="168" fontId="65" fillId="0" borderId="2" xfId="0" applyNumberFormat="1" applyFont="1" applyBorder="1" applyAlignment="1">
      <alignment horizontal="center"/>
    </xf>
    <xf numFmtId="168" fontId="68" fillId="0" borderId="2" xfId="0" applyNumberFormat="1" applyFont="1" applyBorder="1" applyAlignment="1">
      <alignment horizontal="center"/>
    </xf>
    <xf numFmtId="168" fontId="5" fillId="0" borderId="2" xfId="1" applyNumberFormat="1" applyFont="1" applyFill="1" applyBorder="1" applyAlignment="1">
      <alignment horizontal="center" wrapText="1"/>
    </xf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9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68" fontId="0" fillId="0" borderId="0" xfId="0" applyNumberFormat="1"/>
    <xf numFmtId="0" fontId="60" fillId="70" borderId="2" xfId="0" applyFont="1" applyFill="1" applyBorder="1"/>
    <xf numFmtId="0" fontId="6" fillId="70" borderId="2" xfId="1" applyNumberFormat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horizontal="left" vertical="top" wrapText="1"/>
    </xf>
    <xf numFmtId="168" fontId="6" fillId="70" borderId="2" xfId="1" applyNumberFormat="1" applyFont="1" applyFill="1" applyBorder="1" applyAlignment="1">
      <alignment horizontal="center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49" fontId="6" fillId="7" borderId="2" xfId="1" applyNumberFormat="1" applyFont="1" applyFill="1" applyBorder="1" applyAlignment="1">
      <alignment horizontal="center" vertical="center" wrapText="1"/>
    </xf>
    <xf numFmtId="0" fontId="6" fillId="7" borderId="2" xfId="1" applyFont="1" applyFill="1" applyBorder="1" applyAlignment="1">
      <alignment vertical="center" wrapText="1"/>
    </xf>
    <xf numFmtId="168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horizontal="left" vertical="top" wrapText="1"/>
    </xf>
    <xf numFmtId="0" fontId="3" fillId="68" borderId="2" xfId="1" applyFont="1" applyFill="1" applyBorder="1" applyAlignment="1">
      <alignment horizontal="center" vertical="top" wrapText="1"/>
    </xf>
    <xf numFmtId="49" fontId="3" fillId="68" borderId="2" xfId="1" applyNumberFormat="1" applyFont="1" applyFill="1" applyBorder="1" applyAlignment="1">
      <alignment horizontal="center" vertical="top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8" borderId="2" xfId="0" applyFont="1" applyFill="1" applyBorder="1"/>
    <xf numFmtId="49" fontId="6" fillId="68" borderId="2" xfId="1" applyNumberFormat="1" applyFont="1" applyFill="1" applyBorder="1" applyAlignment="1">
      <alignment horizontal="center" wrapText="1"/>
    </xf>
    <xf numFmtId="0" fontId="6" fillId="68" borderId="2" xfId="1" applyFont="1" applyFill="1" applyBorder="1" applyAlignment="1">
      <alignment wrapText="1"/>
    </xf>
    <xf numFmtId="0" fontId="60" fillId="68" borderId="2" xfId="0" applyFont="1" applyFill="1" applyBorder="1"/>
    <xf numFmtId="168" fontId="6" fillId="68" borderId="2" xfId="1" applyNumberFormat="1" applyFont="1" applyFill="1" applyBorder="1" applyAlignment="1">
      <alignment horizontal="center"/>
    </xf>
    <xf numFmtId="0" fontId="6" fillId="68" borderId="2" xfId="1" applyFont="1" applyFill="1" applyBorder="1" applyAlignment="1">
      <alignment vertical="top" wrapText="1"/>
    </xf>
    <xf numFmtId="49" fontId="3" fillId="68" borderId="2" xfId="1" applyNumberFormat="1" applyFont="1" applyFill="1" applyBorder="1" applyAlignment="1">
      <alignment horizontal="center" wrapText="1"/>
    </xf>
    <xf numFmtId="168" fontId="3" fillId="68" borderId="2" xfId="1" applyNumberFormat="1" applyFont="1" applyFill="1" applyBorder="1" applyAlignment="1">
      <alignment horizontal="center" wrapText="1"/>
    </xf>
    <xf numFmtId="49" fontId="6" fillId="68" borderId="2" xfId="1" applyNumberFormat="1" applyFont="1" applyFill="1" applyBorder="1" applyAlignment="1">
      <alignment horizontal="center" vertical="center" wrapText="1"/>
    </xf>
    <xf numFmtId="0" fontId="6" fillId="68" borderId="2" xfId="1" applyFont="1" applyFill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169" fontId="58" fillId="0" borderId="0" xfId="0" applyNumberFormat="1" applyFont="1"/>
    <xf numFmtId="169" fontId="62" fillId="0" borderId="0" xfId="0" applyNumberFormat="1" applyFont="1"/>
    <xf numFmtId="168" fontId="58" fillId="0" borderId="0" xfId="0" applyNumberFormat="1" applyFont="1"/>
    <xf numFmtId="0" fontId="3" fillId="5" borderId="2" xfId="1" applyFont="1" applyFill="1" applyBorder="1" applyAlignment="1">
      <alignment vertical="top" wrapText="1"/>
    </xf>
    <xf numFmtId="0" fontId="3" fillId="69" borderId="2" xfId="1" applyFont="1" applyFill="1" applyBorder="1" applyAlignment="1">
      <alignment wrapText="1"/>
    </xf>
    <xf numFmtId="0" fontId="71" fillId="0" borderId="1" xfId="0" applyFont="1" applyBorder="1" applyAlignment="1">
      <alignment horizontal="center" vertical="center" wrapText="1"/>
    </xf>
    <xf numFmtId="0" fontId="66" fillId="0" borderId="22" xfId="0" applyFont="1" applyBorder="1" applyAlignment="1">
      <alignment vertical="center" wrapText="1"/>
    </xf>
    <xf numFmtId="0" fontId="66" fillId="0" borderId="23" xfId="0" applyFont="1" applyBorder="1" applyAlignment="1">
      <alignment vertical="center" wrapText="1"/>
    </xf>
    <xf numFmtId="0" fontId="66" fillId="69" borderId="2" xfId="0" applyFont="1" applyFill="1" applyBorder="1" applyAlignment="1">
      <alignment horizontal="center" vertical="top" wrapText="1"/>
    </xf>
    <xf numFmtId="0" fontId="66" fillId="69" borderId="2" xfId="0" applyFont="1" applyFill="1" applyBorder="1" applyAlignment="1">
      <alignment vertical="top" wrapText="1"/>
    </xf>
    <xf numFmtId="168" fontId="66" fillId="69" borderId="2" xfId="0" applyNumberFormat="1" applyFont="1" applyFill="1" applyBorder="1" applyAlignment="1">
      <alignment horizontal="center" vertical="center" wrapText="1"/>
    </xf>
    <xf numFmtId="0" fontId="66" fillId="5" borderId="2" xfId="0" applyFont="1" applyFill="1" applyBorder="1" applyAlignment="1">
      <alignment horizontal="center" vertical="top" wrapText="1"/>
    </xf>
    <xf numFmtId="0" fontId="66" fillId="5" borderId="2" xfId="0" applyFont="1" applyFill="1" applyBorder="1" applyAlignment="1">
      <alignment vertical="top" wrapText="1"/>
    </xf>
    <xf numFmtId="168" fontId="66" fillId="5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168" fontId="57" fillId="6" borderId="2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168" fontId="57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49" fontId="57" fillId="2" borderId="2" xfId="0" applyNumberFormat="1" applyFont="1" applyFill="1" applyBorder="1" applyAlignment="1">
      <alignment vertical="justify" wrapText="1"/>
    </xf>
    <xf numFmtId="168" fontId="57" fillId="0" borderId="2" xfId="0" applyNumberFormat="1" applyFont="1" applyBorder="1" applyAlignment="1">
      <alignment horizontal="center" vertical="center" wrapText="1"/>
    </xf>
    <xf numFmtId="0" fontId="66" fillId="2" borderId="2" xfId="0" applyFont="1" applyFill="1" applyBorder="1" applyAlignment="1">
      <alignment horizontal="center" vertical="top" wrapText="1"/>
    </xf>
    <xf numFmtId="0" fontId="66" fillId="2" borderId="2" xfId="0" applyFont="1" applyFill="1" applyBorder="1" applyAlignment="1">
      <alignment vertical="justify" wrapText="1"/>
    </xf>
    <xf numFmtId="168" fontId="66" fillId="2" borderId="2" xfId="0" applyNumberFormat="1" applyFont="1" applyFill="1" applyBorder="1" applyAlignment="1">
      <alignment horizontal="center" vertical="center" wrapText="1"/>
    </xf>
    <xf numFmtId="0" fontId="70" fillId="2" borderId="0" xfId="0" applyFont="1" applyFill="1"/>
    <xf numFmtId="0" fontId="57" fillId="0" borderId="2" xfId="0" applyFont="1" applyFill="1" applyBorder="1" applyAlignment="1">
      <alignment horizontal="center" vertical="top" wrapText="1"/>
    </xf>
    <xf numFmtId="0" fontId="57" fillId="0" borderId="2" xfId="0" applyFont="1" applyFill="1" applyBorder="1" applyAlignment="1">
      <alignment vertical="justify" wrapText="1"/>
    </xf>
    <xf numFmtId="168" fontId="57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2" fillId="0" borderId="2" xfId="0" applyFont="1" applyBorder="1" applyAlignment="1">
      <alignment horizontal="center" vertical="top" wrapText="1"/>
    </xf>
    <xf numFmtId="0" fontId="73" fillId="0" borderId="0" xfId="0" applyFont="1" applyAlignment="1">
      <alignment wrapText="1"/>
    </xf>
    <xf numFmtId="168" fontId="73" fillId="2" borderId="2" xfId="0" applyNumberFormat="1" applyFont="1" applyFill="1" applyBorder="1" applyAlignment="1">
      <alignment horizontal="center" vertical="center" wrapText="1"/>
    </xf>
    <xf numFmtId="0" fontId="74" fillId="0" borderId="0" xfId="0" applyFont="1"/>
    <xf numFmtId="0" fontId="73" fillId="0" borderId="2" xfId="0" applyFont="1" applyBorder="1" applyAlignment="1">
      <alignment horizontal="center" vertical="top" wrapText="1"/>
    </xf>
    <xf numFmtId="0" fontId="75" fillId="0" borderId="2" xfId="0" applyFont="1" applyBorder="1" applyAlignment="1">
      <alignment wrapText="1"/>
    </xf>
    <xf numFmtId="168" fontId="73" fillId="0" borderId="2" xfId="0" applyNumberFormat="1" applyFont="1" applyBorder="1" applyAlignment="1">
      <alignment horizontal="center" vertical="center" wrapText="1"/>
    </xf>
    <xf numFmtId="0" fontId="76" fillId="0" borderId="0" xfId="0" applyFont="1"/>
    <xf numFmtId="0" fontId="75" fillId="2" borderId="2" xfId="0" applyFont="1" applyFill="1" applyBorder="1" applyAlignment="1">
      <alignment wrapText="1"/>
    </xf>
    <xf numFmtId="0" fontId="73" fillId="0" borderId="2" xfId="0" applyFont="1" applyFill="1" applyBorder="1" applyAlignment="1">
      <alignment horizontal="center" vertical="top" wrapText="1"/>
    </xf>
    <xf numFmtId="0" fontId="73" fillId="0" borderId="21" xfId="0" applyFont="1" applyFill="1" applyBorder="1" applyAlignment="1">
      <alignment vertical="top" wrapText="1"/>
    </xf>
    <xf numFmtId="168" fontId="73" fillId="0" borderId="2" xfId="0" applyNumberFormat="1" applyFont="1" applyFill="1" applyBorder="1" applyAlignment="1">
      <alignment horizontal="center" vertical="center" wrapText="1"/>
    </xf>
    <xf numFmtId="4" fontId="76" fillId="0" borderId="0" xfId="0" applyNumberFormat="1" applyFont="1" applyFill="1"/>
    <xf numFmtId="0" fontId="76" fillId="0" borderId="0" xfId="0" applyFont="1" applyFill="1"/>
    <xf numFmtId="0" fontId="77" fillId="0" borderId="21" xfId="0" applyFont="1" applyFill="1" applyBorder="1" applyAlignment="1">
      <alignment horizontal="left" vertical="top" wrapText="1"/>
    </xf>
    <xf numFmtId="0" fontId="78" fillId="0" borderId="2" xfId="0" applyFont="1" applyBorder="1" applyAlignment="1">
      <alignment horizontal="center" vertical="top" wrapText="1"/>
    </xf>
    <xf numFmtId="168" fontId="78" fillId="2" borderId="2" xfId="0" applyNumberFormat="1" applyFont="1" applyFill="1" applyBorder="1" applyAlignment="1">
      <alignment horizontal="center" vertical="center" wrapText="1"/>
    </xf>
    <xf numFmtId="0" fontId="79" fillId="0" borderId="0" xfId="0" applyFont="1"/>
    <xf numFmtId="0" fontId="75" fillId="0" borderId="2" xfId="0" applyFont="1" applyFill="1" applyBorder="1" applyAlignment="1">
      <alignment vertical="top" wrapText="1"/>
    </xf>
    <xf numFmtId="0" fontId="73" fillId="0" borderId="2" xfId="0" applyFont="1" applyFill="1" applyBorder="1" applyAlignment="1">
      <alignment vertical="top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73" fillId="2" borderId="2" xfId="0" applyFont="1" applyFill="1" applyBorder="1" applyAlignment="1">
      <alignment vertical="justify" wrapText="1"/>
    </xf>
    <xf numFmtId="4" fontId="76" fillId="0" borderId="0" xfId="0" applyNumberFormat="1" applyFont="1"/>
    <xf numFmtId="0" fontId="66" fillId="2" borderId="2" xfId="1" applyFont="1" applyFill="1" applyBorder="1" applyAlignment="1">
      <alignment vertical="center" wrapText="1"/>
    </xf>
    <xf numFmtId="168" fontId="66" fillId="0" borderId="2" xfId="0" applyNumberFormat="1" applyFont="1" applyBorder="1" applyAlignment="1">
      <alignment horizontal="center" vertical="center" wrapText="1"/>
    </xf>
    <xf numFmtId="4" fontId="80" fillId="0" borderId="0" xfId="0" applyNumberFormat="1" applyFont="1"/>
    <xf numFmtId="0" fontId="80" fillId="0" borderId="0" xfId="0" applyFont="1"/>
    <xf numFmtId="168" fontId="63" fillId="6" borderId="2" xfId="0" applyNumberFormat="1" applyFont="1" applyFill="1" applyBorder="1" applyAlignment="1">
      <alignment horizontal="center" vertical="center"/>
    </xf>
    <xf numFmtId="168" fontId="63" fillId="2" borderId="2" xfId="0" applyNumberFormat="1" applyFont="1" applyFill="1" applyBorder="1" applyAlignment="1">
      <alignment horizontal="center" vertical="center"/>
    </xf>
    <xf numFmtId="0" fontId="81" fillId="6" borderId="2" xfId="0" applyFont="1" applyFill="1" applyBorder="1" applyAlignment="1">
      <alignment wrapText="1"/>
    </xf>
    <xf numFmtId="168" fontId="70" fillId="5" borderId="2" xfId="0" applyNumberFormat="1" applyFont="1" applyFill="1" applyBorder="1" applyAlignment="1">
      <alignment horizontal="center" vertical="center"/>
    </xf>
    <xf numFmtId="168" fontId="66" fillId="6" borderId="2" xfId="0" applyNumberFormat="1" applyFont="1" applyFill="1" applyBorder="1" applyAlignment="1">
      <alignment horizontal="center" vertical="center" wrapText="1"/>
    </xf>
    <xf numFmtId="168" fontId="70" fillId="6" borderId="2" xfId="0" applyNumberFormat="1" applyFont="1" applyFill="1" applyBorder="1" applyAlignment="1">
      <alignment horizontal="center" vertical="center"/>
    </xf>
    <xf numFmtId="0" fontId="73" fillId="0" borderId="2" xfId="0" applyFont="1" applyBorder="1" applyAlignment="1">
      <alignment vertical="justify" wrapText="1"/>
    </xf>
    <xf numFmtId="168" fontId="76" fillId="0" borderId="2" xfId="0" applyNumberFormat="1" applyFont="1" applyBorder="1" applyAlignment="1">
      <alignment horizontal="center" vertical="center"/>
    </xf>
    <xf numFmtId="168" fontId="67" fillId="0" borderId="2" xfId="0" applyNumberFormat="1" applyFont="1" applyBorder="1" applyAlignment="1">
      <alignment horizontal="center" vertical="center"/>
    </xf>
    <xf numFmtId="0" fontId="73" fillId="0" borderId="2" xfId="0" applyFont="1" applyBorder="1" applyAlignment="1">
      <alignment vertical="top" wrapText="1"/>
    </xf>
    <xf numFmtId="0" fontId="58" fillId="4" borderId="2" xfId="0" applyFont="1" applyFill="1" applyBorder="1"/>
    <xf numFmtId="168" fontId="3" fillId="4" borderId="2" xfId="1" applyNumberFormat="1" applyFont="1" applyFill="1" applyBorder="1" applyAlignment="1">
      <alignment horizontal="center" wrapText="1"/>
    </xf>
    <xf numFmtId="168" fontId="3" fillId="69" borderId="2" xfId="1" applyNumberFormat="1" applyFont="1" applyFill="1" applyBorder="1" applyAlignment="1">
      <alignment horizontal="center" wrapText="1"/>
    </xf>
    <xf numFmtId="0" fontId="66" fillId="0" borderId="2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66" fillId="0" borderId="23" xfId="0" applyFont="1" applyBorder="1" applyAlignment="1">
      <alignment horizontal="center" vertical="center" wrapText="1"/>
    </xf>
    <xf numFmtId="0" fontId="82" fillId="0" borderId="0" xfId="0" applyFont="1" applyAlignment="1">
      <alignment wrapText="1"/>
    </xf>
    <xf numFmtId="168" fontId="64" fillId="2" borderId="2" xfId="0" applyNumberFormat="1" applyFont="1" applyFill="1" applyBorder="1" applyAlignment="1">
      <alignment horizontal="center" vertical="center"/>
    </xf>
    <xf numFmtId="0" fontId="82" fillId="0" borderId="0" xfId="0" applyFont="1"/>
    <xf numFmtId="0" fontId="66" fillId="0" borderId="2" xfId="0" applyFont="1" applyBorder="1" applyAlignment="1">
      <alignment horizontal="center" vertical="top" wrapText="1"/>
    </xf>
    <xf numFmtId="0" fontId="66" fillId="0" borderId="2" xfId="0" applyFont="1" applyBorder="1" applyAlignment="1">
      <alignment vertical="justify" wrapText="1"/>
    </xf>
    <xf numFmtId="168" fontId="70" fillId="0" borderId="2" xfId="0" applyNumberFormat="1" applyFont="1" applyBorder="1" applyAlignment="1">
      <alignment horizontal="center" vertical="center"/>
    </xf>
    <xf numFmtId="168" fontId="68" fillId="0" borderId="2" xfId="0" applyNumberFormat="1" applyFont="1" applyBorder="1" applyAlignment="1">
      <alignment horizontal="center" vertical="center"/>
    </xf>
    <xf numFmtId="0" fontId="70" fillId="0" borderId="0" xfId="0" applyFont="1"/>
    <xf numFmtId="0" fontId="60" fillId="6" borderId="2" xfId="0" applyFont="1" applyFill="1" applyBorder="1"/>
    <xf numFmtId="49" fontId="6" fillId="70" borderId="2" xfId="1" applyNumberFormat="1" applyFont="1" applyFill="1" applyBorder="1" applyAlignment="1">
      <alignment horizontal="center" wrapText="1"/>
    </xf>
    <xf numFmtId="0" fontId="6" fillId="70" borderId="2" xfId="1" applyFont="1" applyFill="1" applyBorder="1" applyAlignment="1">
      <alignment wrapText="1"/>
    </xf>
    <xf numFmtId="168" fontId="6" fillId="70" borderId="2" xfId="1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168" fontId="62" fillId="0" borderId="0" xfId="0" applyNumberFormat="1" applyFont="1"/>
    <xf numFmtId="0" fontId="58" fillId="0" borderId="0" xfId="0" applyFont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57" fillId="0" borderId="0" xfId="0" applyFont="1" applyAlignment="1">
      <alignment horizontal="center"/>
    </xf>
    <xf numFmtId="0" fontId="57" fillId="2" borderId="0" xfId="1" applyFont="1" applyFill="1" applyAlignment="1">
      <alignment horizontal="center" vertical="center"/>
    </xf>
    <xf numFmtId="0" fontId="57" fillId="0" borderId="0" xfId="1" applyFont="1" applyAlignment="1">
      <alignment horizontal="center"/>
    </xf>
    <xf numFmtId="0" fontId="63" fillId="0" borderId="0" xfId="0" applyFont="1" applyAlignment="1">
      <alignment horizontal="center"/>
    </xf>
    <xf numFmtId="0" fontId="66" fillId="0" borderId="2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0" fontId="66" fillId="0" borderId="24" xfId="0" applyFont="1" applyBorder="1" applyAlignment="1">
      <alignment horizontal="center" vertical="center" wrapText="1"/>
    </xf>
    <xf numFmtId="0" fontId="66" fillId="0" borderId="22" xfId="0" applyFont="1" applyBorder="1" applyAlignment="1">
      <alignment horizontal="center" vertical="center" wrapText="1"/>
    </xf>
    <xf numFmtId="0" fontId="66" fillId="0" borderId="23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right"/>
    </xf>
    <xf numFmtId="0" fontId="57" fillId="2" borderId="0" xfId="1" applyFont="1" applyFill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7" fillId="0" borderId="0" xfId="1" applyFont="1" applyAlignment="1">
      <alignment wrapText="1"/>
    </xf>
    <xf numFmtId="0" fontId="57" fillId="0" borderId="0" xfId="1" applyFont="1" applyAlignment="1">
      <alignment horizontal="center" wrapText="1"/>
    </xf>
  </cellXfs>
  <cellStyles count="663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1"/>
  <sheetViews>
    <sheetView view="pageBreakPreview" topLeftCell="A639" zoomScale="85" zoomScaleSheetLayoutView="85" workbookViewId="0">
      <selection activeCell="K653" sqref="K653"/>
    </sheetView>
  </sheetViews>
  <sheetFormatPr defaultColWidth="9.140625" defaultRowHeight="15" x14ac:dyDescent="0.25"/>
  <cols>
    <col min="1" max="1" width="14.42578125" style="28" customWidth="1"/>
    <col min="2" max="2" width="7.5703125" style="28" customWidth="1"/>
    <col min="3" max="3" width="62.140625" style="28" customWidth="1"/>
    <col min="4" max="4" width="0.140625" style="28" hidden="1" customWidth="1"/>
    <col min="5" max="5" width="13.85546875" style="28" hidden="1" customWidth="1"/>
    <col min="6" max="6" width="14.5703125" style="28" hidden="1" customWidth="1"/>
    <col min="7" max="7" width="14.42578125" style="28" hidden="1" customWidth="1"/>
    <col min="8" max="8" width="14" style="28" customWidth="1"/>
    <col min="9" max="10" width="12.85546875" style="28" hidden="1" customWidth="1"/>
    <col min="11" max="11" width="12.85546875" style="28" customWidth="1"/>
    <col min="12" max="12" width="14.42578125" style="28" hidden="1" customWidth="1"/>
    <col min="13" max="13" width="14.5703125" style="28" hidden="1" customWidth="1"/>
    <col min="14" max="14" width="14.28515625" style="28" customWidth="1"/>
    <col min="15" max="15" width="11.140625" style="28" customWidth="1"/>
    <col min="16" max="16" width="9.28515625" style="28" bestFit="1" customWidth="1"/>
    <col min="17" max="18" width="9.140625" style="28"/>
    <col min="19" max="20" width="9.28515625" style="28" bestFit="1" customWidth="1"/>
    <col min="21" max="16384" width="9.140625" style="28"/>
  </cols>
  <sheetData>
    <row r="1" spans="1:22" ht="15.75" x14ac:dyDescent="0.25">
      <c r="A1" s="26"/>
      <c r="B1" s="26"/>
      <c r="C1" s="26"/>
      <c r="D1" s="27"/>
      <c r="E1" s="27"/>
      <c r="F1" s="27"/>
      <c r="G1" s="27"/>
      <c r="H1" s="298" t="s">
        <v>713</v>
      </c>
      <c r="I1" s="298"/>
      <c r="J1" s="298"/>
      <c r="K1" s="298"/>
      <c r="L1" s="298"/>
      <c r="M1" s="298"/>
      <c r="N1" s="298"/>
      <c r="O1" s="27"/>
      <c r="P1" s="27"/>
      <c r="Q1" s="27"/>
      <c r="R1" s="27"/>
      <c r="S1" s="27"/>
      <c r="T1" s="27"/>
      <c r="U1" s="27"/>
      <c r="V1" s="142"/>
    </row>
    <row r="2" spans="1:22" ht="15.6" customHeight="1" x14ac:dyDescent="0.25">
      <c r="A2" s="26"/>
      <c r="B2" s="26"/>
      <c r="C2" s="26"/>
      <c r="D2" s="27"/>
      <c r="E2" s="27"/>
      <c r="F2" s="27"/>
      <c r="G2" s="27"/>
      <c r="H2" s="299" t="s">
        <v>715</v>
      </c>
      <c r="I2" s="299"/>
      <c r="J2" s="299"/>
      <c r="K2" s="299"/>
      <c r="L2" s="299"/>
      <c r="M2" s="299"/>
      <c r="N2" s="299"/>
      <c r="O2" s="27"/>
      <c r="P2" s="27"/>
      <c r="Q2" s="27"/>
      <c r="R2" s="27"/>
      <c r="S2" s="27"/>
      <c r="T2" s="27"/>
      <c r="U2" s="27"/>
      <c r="V2" s="27"/>
    </row>
    <row r="3" spans="1:22" ht="15.75" x14ac:dyDescent="0.25">
      <c r="A3" s="29"/>
      <c r="B3" s="29"/>
      <c r="C3" s="143"/>
      <c r="D3" s="143"/>
      <c r="E3" s="143"/>
      <c r="F3" s="143"/>
      <c r="G3" s="143"/>
      <c r="H3" s="300" t="s">
        <v>720</v>
      </c>
      <c r="I3" s="300"/>
      <c r="J3" s="300"/>
      <c r="K3" s="300"/>
      <c r="L3" s="300"/>
      <c r="M3" s="300"/>
      <c r="N3" s="300"/>
      <c r="O3" s="143"/>
      <c r="P3" s="143"/>
      <c r="Q3" s="143"/>
      <c r="R3" s="143"/>
      <c r="S3" s="143"/>
      <c r="T3" s="143"/>
      <c r="U3" s="143"/>
      <c r="V3" s="143"/>
    </row>
    <row r="4" spans="1:22" ht="15.75" x14ac:dyDescent="0.25">
      <c r="A4" s="26"/>
      <c r="B4" s="26"/>
      <c r="C4" s="26"/>
      <c r="D4" s="129"/>
      <c r="E4" s="129"/>
      <c r="F4" s="129"/>
      <c r="G4" s="129"/>
      <c r="H4" s="299" t="s">
        <v>920</v>
      </c>
      <c r="I4" s="299"/>
      <c r="J4" s="299"/>
      <c r="K4" s="299"/>
      <c r="L4" s="299"/>
      <c r="M4" s="299"/>
      <c r="N4" s="299"/>
    </row>
    <row r="5" spans="1:22" x14ac:dyDescent="0.25">
      <c r="A5" s="26"/>
      <c r="B5" s="26"/>
      <c r="C5" s="26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22" ht="30" customHeight="1" x14ac:dyDescent="0.25">
      <c r="A6" s="297" t="s">
        <v>712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03"/>
      <c r="N6" s="203"/>
    </row>
    <row r="7" spans="1:22" ht="43.9" customHeight="1" x14ac:dyDescent="0.25">
      <c r="A7" s="172" t="s">
        <v>0</v>
      </c>
      <c r="B7" s="172" t="s">
        <v>1</v>
      </c>
      <c r="C7" s="172" t="s">
        <v>2</v>
      </c>
      <c r="D7" s="172" t="s">
        <v>3</v>
      </c>
      <c r="E7" s="172" t="s">
        <v>768</v>
      </c>
      <c r="F7" s="172" t="s">
        <v>3</v>
      </c>
      <c r="G7" s="172" t="s">
        <v>768</v>
      </c>
      <c r="H7" s="172" t="s">
        <v>918</v>
      </c>
      <c r="I7" s="172" t="s">
        <v>4</v>
      </c>
      <c r="J7" s="172" t="s">
        <v>768</v>
      </c>
      <c r="K7" s="172" t="s">
        <v>4</v>
      </c>
      <c r="L7" s="172" t="s">
        <v>5</v>
      </c>
      <c r="M7" s="172" t="s">
        <v>768</v>
      </c>
      <c r="N7" s="172" t="s">
        <v>919</v>
      </c>
    </row>
    <row r="8" spans="1:22" ht="24.75" x14ac:dyDescent="0.25">
      <c r="A8" s="30" t="s">
        <v>6</v>
      </c>
      <c r="B8" s="30"/>
      <c r="C8" s="31" t="s">
        <v>7</v>
      </c>
      <c r="D8" s="137" t="e">
        <f t="shared" ref="D8:N8" si="0">D9+D67+D198+D215+D238+D258+D330+D351+D371+D389+D496+D551+D574+D582+D536</f>
        <v>#REF!</v>
      </c>
      <c r="E8" s="137" t="e">
        <f t="shared" si="0"/>
        <v>#REF!</v>
      </c>
      <c r="F8" s="137">
        <f t="shared" si="0"/>
        <v>823969.44796000002</v>
      </c>
      <c r="G8" s="137">
        <f t="shared" si="0"/>
        <v>-11105.622640000001</v>
      </c>
      <c r="H8" s="137">
        <f t="shared" si="0"/>
        <v>812863.82532000006</v>
      </c>
      <c r="I8" s="137">
        <f t="shared" si="0"/>
        <v>790184.45914999989</v>
      </c>
      <c r="J8" s="137">
        <f t="shared" si="0"/>
        <v>0</v>
      </c>
      <c r="K8" s="137">
        <f t="shared" si="0"/>
        <v>790278.85914999992</v>
      </c>
      <c r="L8" s="137">
        <f t="shared" si="0"/>
        <v>802502.41775000002</v>
      </c>
      <c r="M8" s="137">
        <f t="shared" si="0"/>
        <v>0</v>
      </c>
      <c r="N8" s="137">
        <f t="shared" si="0"/>
        <v>802600.21775000007</v>
      </c>
    </row>
    <row r="9" spans="1:22" ht="26.25" x14ac:dyDescent="0.25">
      <c r="A9" s="32" t="s">
        <v>8</v>
      </c>
      <c r="B9" s="32"/>
      <c r="C9" s="33" t="s">
        <v>9</v>
      </c>
      <c r="D9" s="132">
        <f t="shared" ref="D9:M9" si="1">D10+D24+D33+D59</f>
        <v>74366</v>
      </c>
      <c r="E9" s="132">
        <f t="shared" si="1"/>
        <v>77.400000000000006</v>
      </c>
      <c r="F9" s="132">
        <f t="shared" si="1"/>
        <v>74839.5</v>
      </c>
      <c r="G9" s="132">
        <f t="shared" si="1"/>
        <v>93.3</v>
      </c>
      <c r="H9" s="132">
        <f t="shared" si="1"/>
        <v>74932.800000000003</v>
      </c>
      <c r="I9" s="132">
        <f t="shared" si="1"/>
        <v>77176.000000000015</v>
      </c>
      <c r="J9" s="132">
        <f t="shared" si="1"/>
        <v>0</v>
      </c>
      <c r="K9" s="132">
        <f t="shared" si="1"/>
        <v>77270.400000000009</v>
      </c>
      <c r="L9" s="132">
        <f t="shared" si="1"/>
        <v>79064</v>
      </c>
      <c r="M9" s="132">
        <f t="shared" si="1"/>
        <v>0</v>
      </c>
      <c r="N9" s="132">
        <f>N10+N24+N33+N59</f>
        <v>79161.8</v>
      </c>
    </row>
    <row r="10" spans="1:22" ht="26.25" x14ac:dyDescent="0.25">
      <c r="A10" s="34" t="s">
        <v>10</v>
      </c>
      <c r="B10" s="34"/>
      <c r="C10" s="35" t="s">
        <v>11</v>
      </c>
      <c r="D10" s="139">
        <f t="shared" ref="D10:M10" si="2">D11+D14+D19</f>
        <v>1053.0999999999999</v>
      </c>
      <c r="E10" s="139">
        <f t="shared" si="2"/>
        <v>0</v>
      </c>
      <c r="F10" s="139">
        <f t="shared" si="2"/>
        <v>919.0999999999998</v>
      </c>
      <c r="G10" s="139">
        <f t="shared" si="2"/>
        <v>0</v>
      </c>
      <c r="H10" s="139">
        <f t="shared" si="2"/>
        <v>919.0999999999998</v>
      </c>
      <c r="I10" s="139">
        <f>I11+I14+I19</f>
        <v>501.00000000000006</v>
      </c>
      <c r="J10" s="139">
        <f>J11+J14+J19</f>
        <v>0</v>
      </c>
      <c r="K10" s="139">
        <f t="shared" si="2"/>
        <v>501.00000000000006</v>
      </c>
      <c r="L10" s="139">
        <f t="shared" si="2"/>
        <v>688.7</v>
      </c>
      <c r="M10" s="139">
        <f t="shared" si="2"/>
        <v>0</v>
      </c>
      <c r="N10" s="139">
        <f>N11+N14+N19</f>
        <v>688.7</v>
      </c>
    </row>
    <row r="11" spans="1:22" ht="39" x14ac:dyDescent="0.25">
      <c r="A11" s="36" t="s">
        <v>12</v>
      </c>
      <c r="B11" s="36"/>
      <c r="C11" s="37" t="s">
        <v>13</v>
      </c>
      <c r="D11" s="131">
        <f t="shared" ref="D11:N11" si="3">D12</f>
        <v>134</v>
      </c>
      <c r="E11" s="131">
        <f t="shared" si="3"/>
        <v>0</v>
      </c>
      <c r="F11" s="131">
        <f t="shared" si="3"/>
        <v>0</v>
      </c>
      <c r="G11" s="131">
        <f t="shared" si="3"/>
        <v>0</v>
      </c>
      <c r="H11" s="131">
        <f t="shared" si="3"/>
        <v>0</v>
      </c>
      <c r="I11" s="131">
        <f>I12</f>
        <v>0</v>
      </c>
      <c r="J11" s="131"/>
      <c r="K11" s="131">
        <f t="shared" si="3"/>
        <v>0</v>
      </c>
      <c r="L11" s="131">
        <f t="shared" si="3"/>
        <v>0</v>
      </c>
      <c r="M11" s="131"/>
      <c r="N11" s="131">
        <f t="shared" si="3"/>
        <v>0</v>
      </c>
    </row>
    <row r="12" spans="1:22" x14ac:dyDescent="0.25">
      <c r="A12" s="7" t="s">
        <v>543</v>
      </c>
      <c r="B12" s="13"/>
      <c r="C12" s="3" t="s">
        <v>14</v>
      </c>
      <c r="D12" s="130">
        <v>134</v>
      </c>
      <c r="E12" s="130"/>
      <c r="F12" s="130">
        <f>F13</f>
        <v>0</v>
      </c>
      <c r="G12" s="146"/>
      <c r="H12" s="130">
        <f>H13</f>
        <v>0</v>
      </c>
      <c r="I12" s="130">
        <f>I13</f>
        <v>0</v>
      </c>
      <c r="J12" s="130"/>
      <c r="K12" s="130">
        <f>K13</f>
        <v>0</v>
      </c>
      <c r="L12" s="130">
        <f>L13</f>
        <v>0</v>
      </c>
      <c r="M12" s="130"/>
      <c r="N12" s="130">
        <f>N13</f>
        <v>0</v>
      </c>
    </row>
    <row r="13" spans="1:22" ht="26.25" x14ac:dyDescent="0.25">
      <c r="A13" s="7"/>
      <c r="B13" s="7" t="s">
        <v>336</v>
      </c>
      <c r="C13" s="3" t="s">
        <v>337</v>
      </c>
      <c r="D13" s="130">
        <v>134</v>
      </c>
      <c r="E13" s="130"/>
      <c r="F13" s="130">
        <v>0</v>
      </c>
      <c r="G13" s="146"/>
      <c r="H13" s="130">
        <v>0</v>
      </c>
      <c r="I13" s="130">
        <v>0</v>
      </c>
      <c r="J13" s="130"/>
      <c r="K13" s="146">
        <v>0</v>
      </c>
      <c r="L13" s="146">
        <v>0</v>
      </c>
      <c r="M13" s="146"/>
      <c r="N13" s="146">
        <v>0</v>
      </c>
    </row>
    <row r="14" spans="1:22" ht="26.25" x14ac:dyDescent="0.25">
      <c r="A14" s="36" t="s">
        <v>15</v>
      </c>
      <c r="B14" s="36"/>
      <c r="C14" s="37" t="s">
        <v>16</v>
      </c>
      <c r="D14" s="131">
        <f>D15+D17</f>
        <v>799.29999999999984</v>
      </c>
      <c r="E14" s="131"/>
      <c r="F14" s="131">
        <f>F15+F17</f>
        <v>799.29999999999984</v>
      </c>
      <c r="G14" s="131"/>
      <c r="H14" s="131">
        <f t="shared" ref="H14:N14" si="4">H15+H17</f>
        <v>799.29999999999984</v>
      </c>
      <c r="I14" s="131">
        <f t="shared" si="4"/>
        <v>376.40000000000003</v>
      </c>
      <c r="J14" s="131">
        <f t="shared" si="4"/>
        <v>0</v>
      </c>
      <c r="K14" s="131">
        <f t="shared" si="4"/>
        <v>376.40000000000003</v>
      </c>
      <c r="L14" s="131">
        <f t="shared" si="4"/>
        <v>559.1</v>
      </c>
      <c r="M14" s="131">
        <f t="shared" si="4"/>
        <v>0</v>
      </c>
      <c r="N14" s="131">
        <f t="shared" si="4"/>
        <v>559.1</v>
      </c>
    </row>
    <row r="15" spans="1:22" ht="51.75" x14ac:dyDescent="0.25">
      <c r="A15" s="7" t="s">
        <v>17</v>
      </c>
      <c r="B15" s="13"/>
      <c r="C15" s="3" t="s">
        <v>18</v>
      </c>
      <c r="D15" s="130">
        <f>1882.3-1327.4</f>
        <v>554.89999999999986</v>
      </c>
      <c r="E15" s="130"/>
      <c r="F15" s="130">
        <f>1882.3-1327.4</f>
        <v>554.89999999999986</v>
      </c>
      <c r="G15" s="130"/>
      <c r="H15" s="130">
        <f>1882.3-1327.4</f>
        <v>554.89999999999986</v>
      </c>
      <c r="I15" s="130">
        <f>SUM(I16)</f>
        <v>376.40000000000003</v>
      </c>
      <c r="J15" s="130">
        <f>J16</f>
        <v>0</v>
      </c>
      <c r="K15" s="130">
        <f>K16</f>
        <v>376.40000000000003</v>
      </c>
      <c r="L15" s="130">
        <v>559.1</v>
      </c>
      <c r="M15" s="130"/>
      <c r="N15" s="130">
        <v>559.1</v>
      </c>
    </row>
    <row r="16" spans="1:22" ht="26.25" x14ac:dyDescent="0.25">
      <c r="A16" s="7"/>
      <c r="B16" s="7" t="s">
        <v>336</v>
      </c>
      <c r="C16" s="3" t="s">
        <v>337</v>
      </c>
      <c r="D16" s="130">
        <f>1882.3-1327.4</f>
        <v>554.89999999999986</v>
      </c>
      <c r="E16" s="130"/>
      <c r="F16" s="130">
        <f>1882.3-1327.4</f>
        <v>554.89999999999986</v>
      </c>
      <c r="G16" s="130"/>
      <c r="H16" s="130">
        <f>1882.3-1327.4</f>
        <v>554.89999999999986</v>
      </c>
      <c r="I16" s="130">
        <v>376.40000000000003</v>
      </c>
      <c r="J16" s="130"/>
      <c r="K16" s="130">
        <f>537.6-161.2</f>
        <v>376.40000000000003</v>
      </c>
      <c r="L16" s="130">
        <v>559.1</v>
      </c>
      <c r="M16" s="130"/>
      <c r="N16" s="130">
        <v>559.1</v>
      </c>
    </row>
    <row r="17" spans="1:14" x14ac:dyDescent="0.25">
      <c r="A17" s="7" t="s">
        <v>544</v>
      </c>
      <c r="B17" s="13"/>
      <c r="C17" s="3" t="s">
        <v>19</v>
      </c>
      <c r="D17" s="130">
        <v>244.4</v>
      </c>
      <c r="E17" s="130"/>
      <c r="F17" s="130">
        <v>244.4</v>
      </c>
      <c r="G17" s="130"/>
      <c r="H17" s="130">
        <v>244.4</v>
      </c>
      <c r="I17" s="130">
        <v>0</v>
      </c>
      <c r="J17" s="130">
        <f>J18</f>
        <v>0</v>
      </c>
      <c r="K17" s="130">
        <f>K18</f>
        <v>0</v>
      </c>
      <c r="L17" s="130">
        <v>0</v>
      </c>
      <c r="M17" s="130"/>
      <c r="N17" s="130">
        <f>N18</f>
        <v>0</v>
      </c>
    </row>
    <row r="18" spans="1:14" ht="26.25" x14ac:dyDescent="0.25">
      <c r="A18" s="7"/>
      <c r="B18" s="7" t="s">
        <v>336</v>
      </c>
      <c r="C18" s="3" t="s">
        <v>337</v>
      </c>
      <c r="D18" s="130">
        <v>244.4</v>
      </c>
      <c r="E18" s="130"/>
      <c r="F18" s="130">
        <v>244.4</v>
      </c>
      <c r="G18" s="130"/>
      <c r="H18" s="130">
        <v>244.4</v>
      </c>
      <c r="I18" s="130">
        <v>0</v>
      </c>
      <c r="J18" s="130"/>
      <c r="K18" s="130">
        <v>0</v>
      </c>
      <c r="L18" s="130">
        <v>0</v>
      </c>
      <c r="M18" s="130"/>
      <c r="N18" s="130">
        <v>0</v>
      </c>
    </row>
    <row r="19" spans="1:14" ht="39" x14ac:dyDescent="0.25">
      <c r="A19" s="36" t="s">
        <v>20</v>
      </c>
      <c r="B19" s="36"/>
      <c r="C19" s="37" t="s">
        <v>21</v>
      </c>
      <c r="D19" s="144">
        <f>D20+D22</f>
        <v>119.8</v>
      </c>
      <c r="E19" s="144"/>
      <c r="F19" s="144">
        <f>F20+F22</f>
        <v>119.8</v>
      </c>
      <c r="G19" s="144"/>
      <c r="H19" s="144">
        <f>H20+H22</f>
        <v>119.8</v>
      </c>
      <c r="I19" s="144">
        <f>I20+I22</f>
        <v>124.60000000000001</v>
      </c>
      <c r="J19" s="144"/>
      <c r="K19" s="144">
        <f>K20+K22</f>
        <v>124.60000000000001</v>
      </c>
      <c r="L19" s="144">
        <f>L20+L22</f>
        <v>129.60000000000002</v>
      </c>
      <c r="M19" s="144"/>
      <c r="N19" s="144">
        <f>N20+N22</f>
        <v>129.60000000000002</v>
      </c>
    </row>
    <row r="20" spans="1:14" ht="26.25" x14ac:dyDescent="0.25">
      <c r="A20" s="7" t="s">
        <v>22</v>
      </c>
      <c r="B20" s="7"/>
      <c r="C20" s="3" t="s">
        <v>545</v>
      </c>
      <c r="D20" s="130">
        <v>35.799999999999997</v>
      </c>
      <c r="E20" s="130"/>
      <c r="F20" s="130">
        <v>35.799999999999997</v>
      </c>
      <c r="G20" s="130"/>
      <c r="H20" s="130">
        <v>35.799999999999997</v>
      </c>
      <c r="I20" s="130">
        <v>37.200000000000003</v>
      </c>
      <c r="J20" s="130"/>
      <c r="K20" s="130">
        <v>37.200000000000003</v>
      </c>
      <c r="L20" s="130">
        <v>38.700000000000003</v>
      </c>
      <c r="M20" s="130"/>
      <c r="N20" s="130">
        <v>38.700000000000003</v>
      </c>
    </row>
    <row r="21" spans="1:14" ht="26.25" x14ac:dyDescent="0.25">
      <c r="A21" s="7"/>
      <c r="B21" s="7" t="s">
        <v>336</v>
      </c>
      <c r="C21" s="3" t="s">
        <v>337</v>
      </c>
      <c r="D21" s="130">
        <v>35.799999999999997</v>
      </c>
      <c r="E21" s="130"/>
      <c r="F21" s="130">
        <v>35.799999999999997</v>
      </c>
      <c r="G21" s="130"/>
      <c r="H21" s="130">
        <v>35.799999999999997</v>
      </c>
      <c r="I21" s="130">
        <v>37.200000000000003</v>
      </c>
      <c r="J21" s="130"/>
      <c r="K21" s="130">
        <v>37.200000000000003</v>
      </c>
      <c r="L21" s="130">
        <v>38.700000000000003</v>
      </c>
      <c r="M21" s="130"/>
      <c r="N21" s="130">
        <v>38.700000000000003</v>
      </c>
    </row>
    <row r="22" spans="1:14" ht="51.75" x14ac:dyDescent="0.25">
      <c r="A22" s="7" t="s">
        <v>23</v>
      </c>
      <c r="B22" s="7"/>
      <c r="C22" s="9" t="s">
        <v>24</v>
      </c>
      <c r="D22" s="130">
        <v>84</v>
      </c>
      <c r="E22" s="130"/>
      <c r="F22" s="130">
        <v>84</v>
      </c>
      <c r="G22" s="130"/>
      <c r="H22" s="130">
        <v>84</v>
      </c>
      <c r="I22" s="130">
        <v>87.4</v>
      </c>
      <c r="J22" s="130"/>
      <c r="K22" s="130">
        <v>87.4</v>
      </c>
      <c r="L22" s="130">
        <v>90.9</v>
      </c>
      <c r="M22" s="130"/>
      <c r="N22" s="130">
        <v>90.9</v>
      </c>
    </row>
    <row r="23" spans="1:14" ht="26.25" x14ac:dyDescent="0.25">
      <c r="A23" s="7"/>
      <c r="B23" s="7" t="s">
        <v>336</v>
      </c>
      <c r="C23" s="3" t="s">
        <v>337</v>
      </c>
      <c r="D23" s="130">
        <v>84</v>
      </c>
      <c r="E23" s="130"/>
      <c r="F23" s="130">
        <v>84</v>
      </c>
      <c r="G23" s="130"/>
      <c r="H23" s="130">
        <v>84</v>
      </c>
      <c r="I23" s="130">
        <v>87.4</v>
      </c>
      <c r="J23" s="130"/>
      <c r="K23" s="130">
        <v>87.4</v>
      </c>
      <c r="L23" s="130">
        <v>90.9</v>
      </c>
      <c r="M23" s="130"/>
      <c r="N23" s="130">
        <v>90.9</v>
      </c>
    </row>
    <row r="24" spans="1:14" ht="39" x14ac:dyDescent="0.25">
      <c r="A24" s="34" t="s">
        <v>25</v>
      </c>
      <c r="B24" s="34"/>
      <c r="C24" s="38" t="s">
        <v>26</v>
      </c>
      <c r="D24" s="139">
        <f>D25</f>
        <v>69126</v>
      </c>
      <c r="E24" s="139">
        <f>E25</f>
        <v>77.400000000000006</v>
      </c>
      <c r="F24" s="139">
        <f>F25</f>
        <v>69733.5</v>
      </c>
      <c r="G24" s="139">
        <f t="shared" ref="G24:M24" si="5">G25</f>
        <v>93.3</v>
      </c>
      <c r="H24" s="139">
        <f t="shared" si="5"/>
        <v>69826.8</v>
      </c>
      <c r="I24" s="139">
        <f t="shared" si="5"/>
        <v>72311.700000000012</v>
      </c>
      <c r="J24" s="139">
        <f t="shared" si="5"/>
        <v>0</v>
      </c>
      <c r="K24" s="139">
        <f t="shared" si="5"/>
        <v>72406.100000000006</v>
      </c>
      <c r="L24" s="139">
        <f t="shared" si="5"/>
        <v>73968.2</v>
      </c>
      <c r="M24" s="139">
        <f t="shared" si="5"/>
        <v>0</v>
      </c>
      <c r="N24" s="139">
        <f>N25</f>
        <v>74066</v>
      </c>
    </row>
    <row r="25" spans="1:14" ht="39" x14ac:dyDescent="0.25">
      <c r="A25" s="36" t="s">
        <v>27</v>
      </c>
      <c r="B25" s="36"/>
      <c r="C25" s="37" t="s">
        <v>28</v>
      </c>
      <c r="D25" s="131">
        <f>D26+D28+D31</f>
        <v>69126</v>
      </c>
      <c r="E25" s="131">
        <f>E26+E28+E31</f>
        <v>77.400000000000006</v>
      </c>
      <c r="F25" s="131">
        <f>F26+F28+F31</f>
        <v>69733.5</v>
      </c>
      <c r="G25" s="131">
        <f t="shared" ref="G25:M25" si="6">G26+G28+G31</f>
        <v>93.3</v>
      </c>
      <c r="H25" s="131">
        <f t="shared" si="6"/>
        <v>69826.8</v>
      </c>
      <c r="I25" s="131">
        <f t="shared" si="6"/>
        <v>72311.700000000012</v>
      </c>
      <c r="J25" s="131">
        <f>J26+J28+J31</f>
        <v>0</v>
      </c>
      <c r="K25" s="131">
        <f t="shared" si="6"/>
        <v>72406.100000000006</v>
      </c>
      <c r="L25" s="131">
        <f t="shared" si="6"/>
        <v>73968.2</v>
      </c>
      <c r="M25" s="131">
        <f t="shared" si="6"/>
        <v>0</v>
      </c>
      <c r="N25" s="131">
        <f>N26+N28+N31</f>
        <v>74066</v>
      </c>
    </row>
    <row r="26" spans="1:14" ht="26.25" x14ac:dyDescent="0.25">
      <c r="A26" s="7" t="s">
        <v>29</v>
      </c>
      <c r="B26" s="7"/>
      <c r="C26" s="3" t="s">
        <v>30</v>
      </c>
      <c r="D26" s="130">
        <v>2036.9</v>
      </c>
      <c r="E26" s="130"/>
      <c r="F26" s="130">
        <f t="shared" ref="F26:N26" si="7">F27</f>
        <v>2097.6999999999998</v>
      </c>
      <c r="G26" s="130">
        <f t="shared" si="7"/>
        <v>93.3</v>
      </c>
      <c r="H26" s="130">
        <f t="shared" si="7"/>
        <v>2191</v>
      </c>
      <c r="I26" s="130">
        <f t="shared" si="7"/>
        <v>2209.4</v>
      </c>
      <c r="J26" s="130">
        <f t="shared" si="7"/>
        <v>0</v>
      </c>
      <c r="K26" s="130">
        <f t="shared" si="7"/>
        <v>2303.8000000000002</v>
      </c>
      <c r="L26" s="130">
        <f t="shared" si="7"/>
        <v>2209.4</v>
      </c>
      <c r="M26" s="130">
        <f t="shared" si="7"/>
        <v>0</v>
      </c>
      <c r="N26" s="130">
        <f t="shared" si="7"/>
        <v>2307.2000000000003</v>
      </c>
    </row>
    <row r="27" spans="1:14" ht="51.75" x14ac:dyDescent="0.25">
      <c r="A27" s="7"/>
      <c r="B27" s="7" t="s">
        <v>505</v>
      </c>
      <c r="C27" s="3" t="s">
        <v>506</v>
      </c>
      <c r="D27" s="130">
        <v>2036.9</v>
      </c>
      <c r="E27" s="130"/>
      <c r="F27" s="130">
        <v>2097.6999999999998</v>
      </c>
      <c r="G27" s="130">
        <v>93.3</v>
      </c>
      <c r="H27" s="130">
        <f>SUM(F27:G27)</f>
        <v>2191</v>
      </c>
      <c r="I27" s="130">
        <v>2209.4</v>
      </c>
      <c r="J27" s="130"/>
      <c r="K27" s="130">
        <f>SUM(I27:J27)+94.4</f>
        <v>2303.8000000000002</v>
      </c>
      <c r="L27" s="130">
        <v>2209.4</v>
      </c>
      <c r="M27" s="130"/>
      <c r="N27" s="130">
        <f>SUM(L27:M27)+97.8</f>
        <v>2307.2000000000003</v>
      </c>
    </row>
    <row r="28" spans="1:14" ht="25.5" x14ac:dyDescent="0.25">
      <c r="A28" s="7" t="s">
        <v>31</v>
      </c>
      <c r="B28" s="7"/>
      <c r="C28" s="1" t="s">
        <v>32</v>
      </c>
      <c r="D28" s="130">
        <f>D29+D30</f>
        <v>59555.8</v>
      </c>
      <c r="E28" s="146">
        <f>E29+E30</f>
        <v>77.400000000000006</v>
      </c>
      <c r="F28" s="146">
        <f>F29+F30</f>
        <v>60336.9</v>
      </c>
      <c r="G28" s="146">
        <f>G29</f>
        <v>0</v>
      </c>
      <c r="H28" s="146">
        <f t="shared" ref="H28:N28" si="8">H29+H30</f>
        <v>60336.9</v>
      </c>
      <c r="I28" s="146">
        <f t="shared" si="8"/>
        <v>62880.600000000006</v>
      </c>
      <c r="J28" s="146">
        <f t="shared" si="8"/>
        <v>0</v>
      </c>
      <c r="K28" s="146">
        <f t="shared" si="8"/>
        <v>62880.600000000006</v>
      </c>
      <c r="L28" s="146">
        <f t="shared" si="8"/>
        <v>64537.100000000006</v>
      </c>
      <c r="M28" s="146">
        <f t="shared" si="8"/>
        <v>0</v>
      </c>
      <c r="N28" s="146">
        <f t="shared" si="8"/>
        <v>64537.100000000006</v>
      </c>
    </row>
    <row r="29" spans="1:14" ht="51.75" x14ac:dyDescent="0.25">
      <c r="A29" s="7"/>
      <c r="B29" s="7" t="s">
        <v>505</v>
      </c>
      <c r="C29" s="3" t="s">
        <v>506</v>
      </c>
      <c r="D29" s="130">
        <f>39479.5+3546+5804+7420.3</f>
        <v>56249.8</v>
      </c>
      <c r="E29" s="146">
        <f>94.2+513.3-88.5-88.5-354</f>
        <v>76.5</v>
      </c>
      <c r="F29" s="146">
        <v>57030</v>
      </c>
      <c r="G29" s="130"/>
      <c r="H29" s="146">
        <f>SUM(F29:G29)</f>
        <v>57030</v>
      </c>
      <c r="I29" s="146">
        <v>61224.600000000006</v>
      </c>
      <c r="J29" s="130"/>
      <c r="K29" s="146">
        <f>SUM(I29:J29)</f>
        <v>61224.600000000006</v>
      </c>
      <c r="L29" s="146">
        <v>61224.600000000006</v>
      </c>
      <c r="M29" s="130"/>
      <c r="N29" s="146">
        <f>SUM(L29:M29)</f>
        <v>61224.600000000006</v>
      </c>
    </row>
    <row r="30" spans="1:14" ht="26.25" x14ac:dyDescent="0.25">
      <c r="A30" s="7"/>
      <c r="B30" s="7" t="s">
        <v>336</v>
      </c>
      <c r="C30" s="3" t="s">
        <v>337</v>
      </c>
      <c r="D30" s="130">
        <f>2393.3+138.4+215+559.3</f>
        <v>3306</v>
      </c>
      <c r="E30" s="146">
        <f>6+22.5-4.6-4.6-18.4</f>
        <v>0.89999999999999858</v>
      </c>
      <c r="F30" s="146">
        <f>SUM(D30:E30)</f>
        <v>3306.9</v>
      </c>
      <c r="G30" s="146"/>
      <c r="H30" s="146">
        <f>SUM(F30:G30)</f>
        <v>3306.9</v>
      </c>
      <c r="I30" s="146">
        <v>1656.0000000000005</v>
      </c>
      <c r="J30" s="146"/>
      <c r="K30" s="146">
        <f>2393.3+138.4+215+559.3+30-16.5+30-6.2-6.2-24.6-1656.5</f>
        <v>1656.0000000000005</v>
      </c>
      <c r="L30" s="146">
        <f>2393.3+138.4+215+559.3+30-16.5+30-6.2-6.2-24.6</f>
        <v>3312.5000000000005</v>
      </c>
      <c r="M30" s="146"/>
      <c r="N30" s="146">
        <f>2393.3+138.4+215+559.3+30-16.5+30-6.2-6.2-24.6</f>
        <v>3312.5000000000005</v>
      </c>
    </row>
    <row r="31" spans="1:14" ht="26.25" x14ac:dyDescent="0.25">
      <c r="A31" s="7" t="s">
        <v>33</v>
      </c>
      <c r="B31" s="7"/>
      <c r="C31" s="9" t="s">
        <v>34</v>
      </c>
      <c r="D31" s="130">
        <v>7533.3</v>
      </c>
      <c r="E31" s="130"/>
      <c r="F31" s="130">
        <f t="shared" ref="F31:L31" si="9">F32</f>
        <v>7298.9000000000005</v>
      </c>
      <c r="G31" s="130">
        <f t="shared" si="9"/>
        <v>0</v>
      </c>
      <c r="H31" s="130">
        <f t="shared" si="9"/>
        <v>7298.9000000000005</v>
      </c>
      <c r="I31" s="130">
        <f t="shared" si="9"/>
        <v>7221.7</v>
      </c>
      <c r="J31" s="130">
        <f t="shared" si="9"/>
        <v>0</v>
      </c>
      <c r="K31" s="130">
        <f t="shared" si="9"/>
        <v>7221.7</v>
      </c>
      <c r="L31" s="130">
        <f t="shared" si="9"/>
        <v>7221.7</v>
      </c>
      <c r="M31" s="130"/>
      <c r="N31" s="130">
        <f>N32</f>
        <v>7221.7</v>
      </c>
    </row>
    <row r="32" spans="1:14" x14ac:dyDescent="0.25">
      <c r="A32" s="7"/>
      <c r="B32" s="7" t="s">
        <v>534</v>
      </c>
      <c r="C32" s="3" t="s">
        <v>535</v>
      </c>
      <c r="D32" s="130">
        <v>7533.3</v>
      </c>
      <c r="E32" s="130"/>
      <c r="F32" s="130">
        <v>7298.9000000000005</v>
      </c>
      <c r="G32" s="130"/>
      <c r="H32" s="130">
        <f>7533.3-234.4</f>
        <v>7298.9000000000005</v>
      </c>
      <c r="I32" s="130">
        <v>7221.7</v>
      </c>
      <c r="J32" s="130"/>
      <c r="K32" s="130">
        <f>7533.3-311.6</f>
        <v>7221.7</v>
      </c>
      <c r="L32" s="130">
        <v>7221.7</v>
      </c>
      <c r="M32" s="130"/>
      <c r="N32" s="130">
        <f>7533.3-311.6</f>
        <v>7221.7</v>
      </c>
    </row>
    <row r="33" spans="1:14" ht="39" x14ac:dyDescent="0.25">
      <c r="A33" s="34" t="s">
        <v>35</v>
      </c>
      <c r="B33" s="34"/>
      <c r="C33" s="35" t="s">
        <v>36</v>
      </c>
      <c r="D33" s="139">
        <f>D34</f>
        <v>4049.4000000000005</v>
      </c>
      <c r="E33" s="139"/>
      <c r="F33" s="139">
        <f>F34</f>
        <v>4049.4000000000005</v>
      </c>
      <c r="G33" s="139"/>
      <c r="H33" s="139">
        <f>H34</f>
        <v>4049.4000000000005</v>
      </c>
      <c r="I33" s="139">
        <f>I34</f>
        <v>4220.3</v>
      </c>
      <c r="J33" s="139"/>
      <c r="K33" s="139">
        <f>K34</f>
        <v>4220.3</v>
      </c>
      <c r="L33" s="139">
        <f>L34</f>
        <v>4258.2999999999993</v>
      </c>
      <c r="M33" s="139">
        <f>M34</f>
        <v>0</v>
      </c>
      <c r="N33" s="139">
        <f>N34</f>
        <v>4258.2999999999993</v>
      </c>
    </row>
    <row r="34" spans="1:14" ht="26.25" x14ac:dyDescent="0.25">
      <c r="A34" s="36" t="s">
        <v>37</v>
      </c>
      <c r="B34" s="39"/>
      <c r="C34" s="37" t="s">
        <v>38</v>
      </c>
      <c r="D34" s="131">
        <f>D35+D38+D41+D43+D46+D49+D51+D53+D56</f>
        <v>4049.4000000000005</v>
      </c>
      <c r="E34" s="131"/>
      <c r="F34" s="131">
        <f>F35+F38+F41+F43+F46+F49+F51+F53+F56</f>
        <v>4049.4000000000005</v>
      </c>
      <c r="G34" s="131"/>
      <c r="H34" s="131">
        <f>H35+H38+H41+H43+H46+H49+H51+H53+H56</f>
        <v>4049.4000000000005</v>
      </c>
      <c r="I34" s="131">
        <f>I35+I38+I41+I43+I46+I49+I51+I53+I56</f>
        <v>4220.3</v>
      </c>
      <c r="J34" s="131"/>
      <c r="K34" s="131">
        <f>K35+K38+K41+K43+K46+K49+K51+K53+K56</f>
        <v>4220.3</v>
      </c>
      <c r="L34" s="131">
        <f>L35+L38+L41+L43+L46+L49+L51+L53+L56</f>
        <v>4258.2999999999993</v>
      </c>
      <c r="M34" s="131">
        <f>M35+M38+M41+M43+M46+M49+M51+M53+M56</f>
        <v>0</v>
      </c>
      <c r="N34" s="131">
        <f>N35+N38+N41+N43+N46+N49+N51+N53+N56</f>
        <v>4258.2999999999993</v>
      </c>
    </row>
    <row r="35" spans="1:14" ht="26.25" x14ac:dyDescent="0.25">
      <c r="A35" s="7" t="s">
        <v>39</v>
      </c>
      <c r="B35" s="7"/>
      <c r="C35" s="9" t="s">
        <v>40</v>
      </c>
      <c r="D35" s="145">
        <f>D36+D37</f>
        <v>907</v>
      </c>
      <c r="E35" s="145"/>
      <c r="F35" s="145">
        <f>F36+F37</f>
        <v>907</v>
      </c>
      <c r="G35" s="145"/>
      <c r="H35" s="145">
        <f>H36+H37</f>
        <v>907</v>
      </c>
      <c r="I35" s="145">
        <f>I36+I37</f>
        <v>943.9</v>
      </c>
      <c r="J35" s="145"/>
      <c r="K35" s="145">
        <f>K36+K37</f>
        <v>943.9</v>
      </c>
      <c r="L35" s="145">
        <f>L36+L37</f>
        <v>943.9</v>
      </c>
      <c r="M35" s="145"/>
      <c r="N35" s="145">
        <f>N36+N37</f>
        <v>943.9</v>
      </c>
    </row>
    <row r="36" spans="1:14" ht="51.75" x14ac:dyDescent="0.25">
      <c r="A36" s="7"/>
      <c r="B36" s="7" t="s">
        <v>505</v>
      </c>
      <c r="C36" s="3" t="s">
        <v>506</v>
      </c>
      <c r="D36" s="145">
        <v>836.4</v>
      </c>
      <c r="E36" s="145"/>
      <c r="F36" s="145">
        <v>836.4</v>
      </c>
      <c r="G36" s="145"/>
      <c r="H36" s="145">
        <v>836.4</v>
      </c>
      <c r="I36" s="145">
        <v>836.4</v>
      </c>
      <c r="J36" s="145"/>
      <c r="K36" s="145">
        <v>836.4</v>
      </c>
      <c r="L36" s="145">
        <v>836.4</v>
      </c>
      <c r="M36" s="145"/>
      <c r="N36" s="145">
        <v>836.4</v>
      </c>
    </row>
    <row r="37" spans="1:14" ht="26.25" x14ac:dyDescent="0.25">
      <c r="A37" s="7"/>
      <c r="B37" s="7" t="s">
        <v>336</v>
      </c>
      <c r="C37" s="3" t="s">
        <v>337</v>
      </c>
      <c r="D37" s="145">
        <v>70.599999999999994</v>
      </c>
      <c r="E37" s="145"/>
      <c r="F37" s="145">
        <v>70.599999999999994</v>
      </c>
      <c r="G37" s="145"/>
      <c r="H37" s="145">
        <v>70.599999999999994</v>
      </c>
      <c r="I37" s="145">
        <v>107.5</v>
      </c>
      <c r="J37" s="145"/>
      <c r="K37" s="145">
        <v>107.5</v>
      </c>
      <c r="L37" s="145">
        <v>107.5</v>
      </c>
      <c r="M37" s="145"/>
      <c r="N37" s="145">
        <v>107.5</v>
      </c>
    </row>
    <row r="38" spans="1:14" ht="26.25" x14ac:dyDescent="0.25">
      <c r="A38" s="7" t="s">
        <v>41</v>
      </c>
      <c r="B38" s="7"/>
      <c r="C38" s="9" t="s">
        <v>42</v>
      </c>
      <c r="D38" s="145">
        <v>534.70000000000005</v>
      </c>
      <c r="E38" s="145"/>
      <c r="F38" s="145">
        <v>534.70000000000005</v>
      </c>
      <c r="G38" s="145"/>
      <c r="H38" s="145">
        <v>534.70000000000005</v>
      </c>
      <c r="I38" s="145">
        <v>556.20000000000005</v>
      </c>
      <c r="J38" s="145"/>
      <c r="K38" s="145">
        <v>556.20000000000005</v>
      </c>
      <c r="L38" s="145">
        <v>556.20000000000005</v>
      </c>
      <c r="M38" s="145"/>
      <c r="N38" s="145">
        <v>556.20000000000005</v>
      </c>
    </row>
    <row r="39" spans="1:14" ht="51.75" x14ac:dyDescent="0.25">
      <c r="A39" s="7"/>
      <c r="B39" s="7" t="s">
        <v>505</v>
      </c>
      <c r="C39" s="3" t="s">
        <v>506</v>
      </c>
      <c r="D39" s="145">
        <v>477.9</v>
      </c>
      <c r="E39" s="145"/>
      <c r="F39" s="145">
        <v>477.9</v>
      </c>
      <c r="G39" s="145"/>
      <c r="H39" s="145">
        <v>477.9</v>
      </c>
      <c r="I39" s="145">
        <v>477.9</v>
      </c>
      <c r="J39" s="145"/>
      <c r="K39" s="145">
        <v>477.9</v>
      </c>
      <c r="L39" s="145">
        <v>477.9</v>
      </c>
      <c r="M39" s="145"/>
      <c r="N39" s="145">
        <v>477.9</v>
      </c>
    </row>
    <row r="40" spans="1:14" ht="26.25" x14ac:dyDescent="0.25">
      <c r="A40" s="7"/>
      <c r="B40" s="7" t="s">
        <v>336</v>
      </c>
      <c r="C40" s="3" t="s">
        <v>337</v>
      </c>
      <c r="D40" s="145">
        <v>56.8</v>
      </c>
      <c r="E40" s="145"/>
      <c r="F40" s="145">
        <v>56.8</v>
      </c>
      <c r="G40" s="145"/>
      <c r="H40" s="145">
        <v>56.8</v>
      </c>
      <c r="I40" s="145">
        <v>78.3</v>
      </c>
      <c r="J40" s="145"/>
      <c r="K40" s="145">
        <v>78.3</v>
      </c>
      <c r="L40" s="145">
        <v>78.3</v>
      </c>
      <c r="M40" s="145"/>
      <c r="N40" s="145">
        <v>78.3</v>
      </c>
    </row>
    <row r="41" spans="1:14" x14ac:dyDescent="0.25">
      <c r="A41" s="7" t="s">
        <v>43</v>
      </c>
      <c r="B41" s="7"/>
      <c r="C41" s="9" t="s">
        <v>44</v>
      </c>
      <c r="D41" s="145">
        <v>17.8</v>
      </c>
      <c r="E41" s="145"/>
      <c r="F41" s="145">
        <v>17.8</v>
      </c>
      <c r="G41" s="145"/>
      <c r="H41" s="145">
        <v>17.8</v>
      </c>
      <c r="I41" s="145">
        <v>17.8</v>
      </c>
      <c r="J41" s="145"/>
      <c r="K41" s="145">
        <v>17.8</v>
      </c>
      <c r="L41" s="145">
        <v>17.8</v>
      </c>
      <c r="M41" s="145"/>
      <c r="N41" s="145">
        <v>17.8</v>
      </c>
    </row>
    <row r="42" spans="1:14" ht="26.25" x14ac:dyDescent="0.25">
      <c r="A42" s="7"/>
      <c r="B42" s="7" t="s">
        <v>336</v>
      </c>
      <c r="C42" s="3" t="s">
        <v>337</v>
      </c>
      <c r="D42" s="145">
        <v>17.8</v>
      </c>
      <c r="E42" s="145"/>
      <c r="F42" s="145">
        <v>17.8</v>
      </c>
      <c r="G42" s="145"/>
      <c r="H42" s="145">
        <v>17.8</v>
      </c>
      <c r="I42" s="145">
        <v>17.8</v>
      </c>
      <c r="J42" s="145"/>
      <c r="K42" s="145">
        <v>17.8</v>
      </c>
      <c r="L42" s="145">
        <v>17.8</v>
      </c>
      <c r="M42" s="145"/>
      <c r="N42" s="145">
        <v>17.8</v>
      </c>
    </row>
    <row r="43" spans="1:14" ht="26.25" x14ac:dyDescent="0.25">
      <c r="A43" s="7" t="s">
        <v>45</v>
      </c>
      <c r="B43" s="7"/>
      <c r="C43" s="3" t="s">
        <v>46</v>
      </c>
      <c r="D43" s="145">
        <v>52.7</v>
      </c>
      <c r="E43" s="145"/>
      <c r="F43" s="145">
        <v>52.7</v>
      </c>
      <c r="G43" s="145"/>
      <c r="H43" s="145">
        <v>52.7</v>
      </c>
      <c r="I43" s="145">
        <v>55</v>
      </c>
      <c r="J43" s="145"/>
      <c r="K43" s="145">
        <v>55</v>
      </c>
      <c r="L43" s="145">
        <v>55</v>
      </c>
      <c r="M43" s="145"/>
      <c r="N43" s="145">
        <v>55</v>
      </c>
    </row>
    <row r="44" spans="1:14" ht="51.75" x14ac:dyDescent="0.25">
      <c r="A44" s="7"/>
      <c r="B44" s="7" t="s">
        <v>505</v>
      </c>
      <c r="C44" s="3" t="s">
        <v>506</v>
      </c>
      <c r="D44" s="145">
        <v>47.8</v>
      </c>
      <c r="E44" s="145"/>
      <c r="F44" s="145">
        <v>47.8</v>
      </c>
      <c r="G44" s="145"/>
      <c r="H44" s="145">
        <v>47.8</v>
      </c>
      <c r="I44" s="145">
        <v>47.8</v>
      </c>
      <c r="J44" s="145"/>
      <c r="K44" s="145">
        <v>47.8</v>
      </c>
      <c r="L44" s="145">
        <v>47.8</v>
      </c>
      <c r="M44" s="145"/>
      <c r="N44" s="145">
        <v>47.8</v>
      </c>
    </row>
    <row r="45" spans="1:14" ht="26.25" x14ac:dyDescent="0.25">
      <c r="A45" s="7"/>
      <c r="B45" s="7" t="s">
        <v>336</v>
      </c>
      <c r="C45" s="3" t="s">
        <v>337</v>
      </c>
      <c r="D45" s="145">
        <v>4.9000000000000004</v>
      </c>
      <c r="E45" s="145"/>
      <c r="F45" s="145">
        <v>4.9000000000000004</v>
      </c>
      <c r="G45" s="145"/>
      <c r="H45" s="145">
        <v>4.9000000000000004</v>
      </c>
      <c r="I45" s="145">
        <v>7.2</v>
      </c>
      <c r="J45" s="145"/>
      <c r="K45" s="145">
        <v>7.2</v>
      </c>
      <c r="L45" s="145">
        <v>7.2</v>
      </c>
      <c r="M45" s="145"/>
      <c r="N45" s="145">
        <v>7.2</v>
      </c>
    </row>
    <row r="46" spans="1:14" ht="26.25" x14ac:dyDescent="0.25">
      <c r="A46" s="7" t="s">
        <v>47</v>
      </c>
      <c r="B46" s="7"/>
      <c r="C46" s="65" t="s">
        <v>766</v>
      </c>
      <c r="D46" s="145">
        <v>387.7</v>
      </c>
      <c r="E46" s="145"/>
      <c r="F46" s="145">
        <v>387.7</v>
      </c>
      <c r="G46" s="145"/>
      <c r="H46" s="145">
        <v>387.7</v>
      </c>
      <c r="I46" s="145">
        <v>404.4</v>
      </c>
      <c r="J46" s="145"/>
      <c r="K46" s="145">
        <v>404.4</v>
      </c>
      <c r="L46" s="145">
        <v>404.4</v>
      </c>
      <c r="M46" s="145"/>
      <c r="N46" s="145">
        <v>404.4</v>
      </c>
    </row>
    <row r="47" spans="1:14" ht="51.75" x14ac:dyDescent="0.25">
      <c r="A47" s="7"/>
      <c r="B47" s="7" t="s">
        <v>505</v>
      </c>
      <c r="C47" s="3" t="s">
        <v>506</v>
      </c>
      <c r="D47" s="145">
        <v>365.5</v>
      </c>
      <c r="E47" s="145"/>
      <c r="F47" s="145">
        <v>365.5</v>
      </c>
      <c r="G47" s="145"/>
      <c r="H47" s="145">
        <v>365.5</v>
      </c>
      <c r="I47" s="145">
        <v>365.5</v>
      </c>
      <c r="J47" s="145"/>
      <c r="K47" s="145">
        <v>365.5</v>
      </c>
      <c r="L47" s="145">
        <v>365.5</v>
      </c>
      <c r="M47" s="145"/>
      <c r="N47" s="145">
        <v>365.5</v>
      </c>
    </row>
    <row r="48" spans="1:14" ht="26.25" x14ac:dyDescent="0.25">
      <c r="A48" s="7"/>
      <c r="B48" s="7" t="s">
        <v>336</v>
      </c>
      <c r="C48" s="3" t="s">
        <v>337</v>
      </c>
      <c r="D48" s="145">
        <v>22.2</v>
      </c>
      <c r="E48" s="145"/>
      <c r="F48" s="145">
        <v>22.2</v>
      </c>
      <c r="G48" s="145"/>
      <c r="H48" s="145">
        <v>22.2</v>
      </c>
      <c r="I48" s="145">
        <v>38.9</v>
      </c>
      <c r="J48" s="145"/>
      <c r="K48" s="145">
        <v>38.9</v>
      </c>
      <c r="L48" s="145">
        <v>38.9</v>
      </c>
      <c r="M48" s="145"/>
      <c r="N48" s="145">
        <v>38.9</v>
      </c>
    </row>
    <row r="49" spans="1:14" ht="39" x14ac:dyDescent="0.25">
      <c r="A49" s="7" t="s">
        <v>48</v>
      </c>
      <c r="B49" s="7"/>
      <c r="C49" s="9" t="s">
        <v>49</v>
      </c>
      <c r="D49" s="145">
        <v>11.4</v>
      </c>
      <c r="E49" s="145"/>
      <c r="F49" s="145">
        <v>11.4</v>
      </c>
      <c r="G49" s="145"/>
      <c r="H49" s="145">
        <v>11.4</v>
      </c>
      <c r="I49" s="145">
        <v>11.9</v>
      </c>
      <c r="J49" s="145"/>
      <c r="K49" s="145">
        <v>11.9</v>
      </c>
      <c r="L49" s="145">
        <v>11.9</v>
      </c>
      <c r="M49" s="145"/>
      <c r="N49" s="145">
        <v>11.9</v>
      </c>
    </row>
    <row r="50" spans="1:14" ht="26.25" x14ac:dyDescent="0.25">
      <c r="A50" s="7"/>
      <c r="B50" s="7" t="s">
        <v>336</v>
      </c>
      <c r="C50" s="3" t="s">
        <v>337</v>
      </c>
      <c r="D50" s="145">
        <v>11.4</v>
      </c>
      <c r="E50" s="145"/>
      <c r="F50" s="145">
        <v>11.4</v>
      </c>
      <c r="G50" s="145"/>
      <c r="H50" s="145">
        <v>11.4</v>
      </c>
      <c r="I50" s="145">
        <v>11.9</v>
      </c>
      <c r="J50" s="145"/>
      <c r="K50" s="145">
        <v>11.9</v>
      </c>
      <c r="L50" s="145">
        <v>11.9</v>
      </c>
      <c r="M50" s="145"/>
      <c r="N50" s="145">
        <v>11.9</v>
      </c>
    </row>
    <row r="51" spans="1:14" ht="39" x14ac:dyDescent="0.25">
      <c r="A51" s="7" t="s">
        <v>50</v>
      </c>
      <c r="B51" s="7"/>
      <c r="C51" s="3" t="s">
        <v>51</v>
      </c>
      <c r="D51" s="145">
        <v>0.9</v>
      </c>
      <c r="E51" s="145"/>
      <c r="F51" s="145">
        <v>0.9</v>
      </c>
      <c r="G51" s="145"/>
      <c r="H51" s="145">
        <v>0.9</v>
      </c>
      <c r="I51" s="145">
        <f>I52</f>
        <v>0.90000000000000013</v>
      </c>
      <c r="J51" s="145"/>
      <c r="K51" s="145">
        <f>K52</f>
        <v>0.90000000000000013</v>
      </c>
      <c r="L51" s="145">
        <f>L52</f>
        <v>0.8</v>
      </c>
      <c r="M51" s="145"/>
      <c r="N51" s="145">
        <f>N52</f>
        <v>0.8</v>
      </c>
    </row>
    <row r="52" spans="1:14" ht="26.25" x14ac:dyDescent="0.25">
      <c r="A52" s="7"/>
      <c r="B52" s="7" t="s">
        <v>336</v>
      </c>
      <c r="C52" s="3" t="s">
        <v>337</v>
      </c>
      <c r="D52" s="145">
        <v>0.9</v>
      </c>
      <c r="E52" s="145"/>
      <c r="F52" s="145">
        <v>0.9</v>
      </c>
      <c r="G52" s="145"/>
      <c r="H52" s="145">
        <v>0.9</v>
      </c>
      <c r="I52" s="145">
        <f>2.6-1.7</f>
        <v>0.90000000000000013</v>
      </c>
      <c r="J52" s="145"/>
      <c r="K52" s="145">
        <f>2.6-1.7</f>
        <v>0.90000000000000013</v>
      </c>
      <c r="L52" s="145">
        <f>2.6-1.8</f>
        <v>0.8</v>
      </c>
      <c r="M52" s="145"/>
      <c r="N52" s="145">
        <f>2.6-1.8</f>
        <v>0.8</v>
      </c>
    </row>
    <row r="53" spans="1:14" x14ac:dyDescent="0.25">
      <c r="A53" s="7" t="s">
        <v>52</v>
      </c>
      <c r="B53" s="7"/>
      <c r="C53" s="3" t="s">
        <v>53</v>
      </c>
      <c r="D53" s="145">
        <v>1085.5</v>
      </c>
      <c r="E53" s="145"/>
      <c r="F53" s="145">
        <v>1085.5</v>
      </c>
      <c r="G53" s="145"/>
      <c r="H53" s="145">
        <v>1085.5</v>
      </c>
      <c r="I53" s="145">
        <v>1134.4000000000001</v>
      </c>
      <c r="J53" s="145"/>
      <c r="K53" s="145">
        <v>1134.4000000000001</v>
      </c>
      <c r="L53" s="145">
        <v>1134.4000000000001</v>
      </c>
      <c r="M53" s="145"/>
      <c r="N53" s="145">
        <v>1134.4000000000001</v>
      </c>
    </row>
    <row r="54" spans="1:14" ht="51.75" x14ac:dyDescent="0.25">
      <c r="A54" s="7"/>
      <c r="B54" s="7" t="s">
        <v>505</v>
      </c>
      <c r="C54" s="3" t="s">
        <v>506</v>
      </c>
      <c r="D54" s="145">
        <v>1053.2</v>
      </c>
      <c r="E54" s="145"/>
      <c r="F54" s="145">
        <v>1053.2</v>
      </c>
      <c r="G54" s="145"/>
      <c r="H54" s="145">
        <v>1053.2</v>
      </c>
      <c r="I54" s="145">
        <v>1053.2</v>
      </c>
      <c r="J54" s="145"/>
      <c r="K54" s="145">
        <v>1053.2</v>
      </c>
      <c r="L54" s="145">
        <v>1053.2</v>
      </c>
      <c r="M54" s="145"/>
      <c r="N54" s="145">
        <v>1053.2</v>
      </c>
    </row>
    <row r="55" spans="1:14" ht="26.25" x14ac:dyDescent="0.25">
      <c r="A55" s="7"/>
      <c r="B55" s="7" t="s">
        <v>336</v>
      </c>
      <c r="C55" s="3" t="s">
        <v>337</v>
      </c>
      <c r="D55" s="145">
        <v>32.299999999999997</v>
      </c>
      <c r="E55" s="145"/>
      <c r="F55" s="145">
        <v>32.299999999999997</v>
      </c>
      <c r="G55" s="145"/>
      <c r="H55" s="145">
        <v>32.299999999999997</v>
      </c>
      <c r="I55" s="145">
        <v>81.2</v>
      </c>
      <c r="J55" s="145"/>
      <c r="K55" s="145">
        <v>81.2</v>
      </c>
      <c r="L55" s="145">
        <v>81.2</v>
      </c>
      <c r="M55" s="145"/>
      <c r="N55" s="145">
        <v>81.2</v>
      </c>
    </row>
    <row r="56" spans="1:14" ht="26.25" x14ac:dyDescent="0.25">
      <c r="A56" s="7" t="s">
        <v>54</v>
      </c>
      <c r="B56" s="7"/>
      <c r="C56" s="3" t="s">
        <v>747</v>
      </c>
      <c r="D56" s="145">
        <f>D57+D58</f>
        <v>1051.7</v>
      </c>
      <c r="E56" s="145"/>
      <c r="F56" s="145">
        <f>F57+F58</f>
        <v>1051.7</v>
      </c>
      <c r="G56" s="145"/>
      <c r="H56" s="145">
        <f>H57+H58</f>
        <v>1051.7</v>
      </c>
      <c r="I56" s="145">
        <f>I57+I58</f>
        <v>1095.8</v>
      </c>
      <c r="J56" s="145"/>
      <c r="K56" s="145">
        <f>K57+K58</f>
        <v>1095.8</v>
      </c>
      <c r="L56" s="145">
        <f>L57+L58</f>
        <v>1133.8999999999999</v>
      </c>
      <c r="M56" s="145"/>
      <c r="N56" s="145">
        <f>N57+N58</f>
        <v>1133.8999999999999</v>
      </c>
    </row>
    <row r="57" spans="1:14" ht="51.75" x14ac:dyDescent="0.25">
      <c r="A57" s="7"/>
      <c r="B57" s="7" t="s">
        <v>505</v>
      </c>
      <c r="C57" s="3" t="s">
        <v>506</v>
      </c>
      <c r="D57" s="145">
        <v>1043</v>
      </c>
      <c r="E57" s="145"/>
      <c r="F57" s="145">
        <v>1043</v>
      </c>
      <c r="G57" s="145"/>
      <c r="H57" s="145">
        <v>1043</v>
      </c>
      <c r="I57" s="145">
        <v>1043</v>
      </c>
      <c r="J57" s="145"/>
      <c r="K57" s="145">
        <v>1043</v>
      </c>
      <c r="L57" s="145">
        <v>1043.0999999999999</v>
      </c>
      <c r="M57" s="145"/>
      <c r="N57" s="145">
        <f>1043+0.1</f>
        <v>1043.0999999999999</v>
      </c>
    </row>
    <row r="58" spans="1:14" ht="26.25" x14ac:dyDescent="0.25">
      <c r="A58" s="7"/>
      <c r="B58" s="7" t="s">
        <v>336</v>
      </c>
      <c r="C58" s="3" t="s">
        <v>337</v>
      </c>
      <c r="D58" s="145">
        <v>8.6999999999999993</v>
      </c>
      <c r="E58" s="145"/>
      <c r="F58" s="145">
        <v>8.6999999999999993</v>
      </c>
      <c r="G58" s="145"/>
      <c r="H58" s="145">
        <v>8.6999999999999993</v>
      </c>
      <c r="I58" s="145">
        <v>52.8</v>
      </c>
      <c r="J58" s="145"/>
      <c r="K58" s="145">
        <v>52.8</v>
      </c>
      <c r="L58" s="145">
        <v>90.8</v>
      </c>
      <c r="M58" s="145"/>
      <c r="N58" s="145">
        <v>90.8</v>
      </c>
    </row>
    <row r="59" spans="1:14" ht="26.25" x14ac:dyDescent="0.25">
      <c r="A59" s="34" t="s">
        <v>55</v>
      </c>
      <c r="B59" s="34"/>
      <c r="C59" s="35" t="s">
        <v>56</v>
      </c>
      <c r="D59" s="139">
        <f>D60</f>
        <v>137.5</v>
      </c>
      <c r="E59" s="139"/>
      <c r="F59" s="139">
        <f>F60</f>
        <v>137.5</v>
      </c>
      <c r="G59" s="139"/>
      <c r="H59" s="139">
        <f>H60</f>
        <v>137.5</v>
      </c>
      <c r="I59" s="139">
        <f>I60</f>
        <v>143</v>
      </c>
      <c r="J59" s="139"/>
      <c r="K59" s="139">
        <f>K60</f>
        <v>143</v>
      </c>
      <c r="L59" s="139">
        <f>L60</f>
        <v>148.80000000000001</v>
      </c>
      <c r="M59" s="139"/>
      <c r="N59" s="139">
        <f>N60</f>
        <v>148.80000000000001</v>
      </c>
    </row>
    <row r="60" spans="1:14" ht="26.25" x14ac:dyDescent="0.25">
      <c r="A60" s="36" t="s">
        <v>57</v>
      </c>
      <c r="B60" s="39"/>
      <c r="C60" s="37" t="s">
        <v>58</v>
      </c>
      <c r="D60" s="131">
        <f>D61+D63+D65</f>
        <v>137.5</v>
      </c>
      <c r="E60" s="131"/>
      <c r="F60" s="131">
        <f>F61+F63+F65</f>
        <v>137.5</v>
      </c>
      <c r="G60" s="131"/>
      <c r="H60" s="131">
        <f>H61+H63+H65</f>
        <v>137.5</v>
      </c>
      <c r="I60" s="131">
        <f>I61+I63+I65</f>
        <v>143</v>
      </c>
      <c r="J60" s="131"/>
      <c r="K60" s="131">
        <f>K61+K63+K65</f>
        <v>143</v>
      </c>
      <c r="L60" s="131">
        <f>L61+L63+L65</f>
        <v>148.80000000000001</v>
      </c>
      <c r="M60" s="131"/>
      <c r="N60" s="131">
        <f>N61+N63+N65</f>
        <v>148.80000000000001</v>
      </c>
    </row>
    <row r="61" spans="1:14" ht="26.25" x14ac:dyDescent="0.25">
      <c r="A61" s="7" t="s">
        <v>59</v>
      </c>
      <c r="B61" s="7"/>
      <c r="C61" s="9" t="s">
        <v>60</v>
      </c>
      <c r="D61" s="145">
        <v>18.2</v>
      </c>
      <c r="E61" s="145"/>
      <c r="F61" s="145">
        <v>18.2</v>
      </c>
      <c r="G61" s="145"/>
      <c r="H61" s="145">
        <v>18.2</v>
      </c>
      <c r="I61" s="145">
        <v>18.899999999999999</v>
      </c>
      <c r="J61" s="145"/>
      <c r="K61" s="145">
        <v>18.899999999999999</v>
      </c>
      <c r="L61" s="145">
        <v>19.7</v>
      </c>
      <c r="M61" s="145"/>
      <c r="N61" s="145">
        <v>19.7</v>
      </c>
    </row>
    <row r="62" spans="1:14" ht="26.25" x14ac:dyDescent="0.25">
      <c r="A62" s="7"/>
      <c r="B62" s="7" t="s">
        <v>336</v>
      </c>
      <c r="C62" s="3" t="s">
        <v>337</v>
      </c>
      <c r="D62" s="145">
        <v>18.2</v>
      </c>
      <c r="E62" s="145"/>
      <c r="F62" s="145">
        <v>18.2</v>
      </c>
      <c r="G62" s="145"/>
      <c r="H62" s="145">
        <v>18.2</v>
      </c>
      <c r="I62" s="145">
        <v>18.899999999999999</v>
      </c>
      <c r="J62" s="145"/>
      <c r="K62" s="145">
        <v>18.899999999999999</v>
      </c>
      <c r="L62" s="145">
        <v>19.7</v>
      </c>
      <c r="M62" s="145"/>
      <c r="N62" s="145">
        <v>19.7</v>
      </c>
    </row>
    <row r="63" spans="1:14" x14ac:dyDescent="0.25">
      <c r="A63" s="7" t="s">
        <v>61</v>
      </c>
      <c r="B63" s="7"/>
      <c r="C63" s="9" t="s">
        <v>62</v>
      </c>
      <c r="D63" s="145">
        <v>88</v>
      </c>
      <c r="E63" s="145"/>
      <c r="F63" s="145">
        <v>88</v>
      </c>
      <c r="G63" s="145"/>
      <c r="H63" s="145">
        <v>88</v>
      </c>
      <c r="I63" s="145">
        <v>91.5</v>
      </c>
      <c r="J63" s="145"/>
      <c r="K63" s="145">
        <v>91.5</v>
      </c>
      <c r="L63" s="145">
        <v>95.2</v>
      </c>
      <c r="M63" s="145"/>
      <c r="N63" s="145">
        <v>95.2</v>
      </c>
    </row>
    <row r="64" spans="1:14" ht="26.25" x14ac:dyDescent="0.25">
      <c r="A64" s="7"/>
      <c r="B64" s="7" t="s">
        <v>336</v>
      </c>
      <c r="C64" s="3" t="s">
        <v>337</v>
      </c>
      <c r="D64" s="145">
        <v>88</v>
      </c>
      <c r="E64" s="145"/>
      <c r="F64" s="145">
        <v>88</v>
      </c>
      <c r="G64" s="145"/>
      <c r="H64" s="145">
        <v>88</v>
      </c>
      <c r="I64" s="145">
        <v>91.5</v>
      </c>
      <c r="J64" s="145"/>
      <c r="K64" s="145">
        <v>91.5</v>
      </c>
      <c r="L64" s="145">
        <v>95.2</v>
      </c>
      <c r="M64" s="145"/>
      <c r="N64" s="145">
        <v>95.2</v>
      </c>
    </row>
    <row r="65" spans="1:20" x14ac:dyDescent="0.25">
      <c r="A65" s="7" t="s">
        <v>63</v>
      </c>
      <c r="B65" s="7"/>
      <c r="C65" s="9" t="s">
        <v>64</v>
      </c>
      <c r="D65" s="145">
        <v>31.3</v>
      </c>
      <c r="E65" s="145"/>
      <c r="F65" s="145">
        <v>31.3</v>
      </c>
      <c r="G65" s="145"/>
      <c r="H65" s="145">
        <v>31.3</v>
      </c>
      <c r="I65" s="145">
        <v>32.6</v>
      </c>
      <c r="J65" s="145"/>
      <c r="K65" s="145">
        <v>32.6</v>
      </c>
      <c r="L65" s="145">
        <v>33.9</v>
      </c>
      <c r="M65" s="145"/>
      <c r="N65" s="145">
        <v>33.9</v>
      </c>
    </row>
    <row r="66" spans="1:20" ht="26.25" x14ac:dyDescent="0.25">
      <c r="A66" s="7"/>
      <c r="B66" s="7" t="s">
        <v>336</v>
      </c>
      <c r="C66" s="3" t="s">
        <v>337</v>
      </c>
      <c r="D66" s="145">
        <v>31.3</v>
      </c>
      <c r="E66" s="145"/>
      <c r="F66" s="145">
        <v>31.3</v>
      </c>
      <c r="G66" s="145"/>
      <c r="H66" s="145">
        <v>31.3</v>
      </c>
      <c r="I66" s="145">
        <v>32.6</v>
      </c>
      <c r="J66" s="145"/>
      <c r="K66" s="145">
        <v>32.6</v>
      </c>
      <c r="L66" s="145">
        <v>33.9</v>
      </c>
      <c r="M66" s="145"/>
      <c r="N66" s="145">
        <v>33.9</v>
      </c>
    </row>
    <row r="67" spans="1:20" ht="26.25" x14ac:dyDescent="0.25">
      <c r="A67" s="32" t="s">
        <v>65</v>
      </c>
      <c r="B67" s="32"/>
      <c r="C67" s="40" t="s">
        <v>66</v>
      </c>
      <c r="D67" s="132">
        <f t="shared" ref="D67:M67" si="10">D68+D84+D125+D141+D151+D168+D194</f>
        <v>490267.01900000003</v>
      </c>
      <c r="E67" s="132">
        <f t="shared" si="10"/>
        <v>6401.84</v>
      </c>
      <c r="F67" s="132">
        <f t="shared" si="10"/>
        <v>497754.45500000002</v>
      </c>
      <c r="G67" s="132">
        <f t="shared" si="10"/>
        <v>-1288.1903299999999</v>
      </c>
      <c r="H67" s="132">
        <f t="shared" si="10"/>
        <v>496466.26467</v>
      </c>
      <c r="I67" s="132">
        <f t="shared" si="10"/>
        <v>435362.95999999996</v>
      </c>
      <c r="J67" s="132">
        <f t="shared" si="10"/>
        <v>0</v>
      </c>
      <c r="K67" s="132">
        <f t="shared" si="10"/>
        <v>435362.95999999996</v>
      </c>
      <c r="L67" s="132">
        <f t="shared" si="10"/>
        <v>413657.10000000009</v>
      </c>
      <c r="M67" s="132">
        <f t="shared" si="10"/>
        <v>0</v>
      </c>
      <c r="N67" s="132">
        <f>N68+N84+N125+N141+N151+N168+N194</f>
        <v>413657.10000000009</v>
      </c>
    </row>
    <row r="68" spans="1:20" x14ac:dyDescent="0.25">
      <c r="A68" s="34" t="s">
        <v>67</v>
      </c>
      <c r="B68" s="34"/>
      <c r="C68" s="35" t="s">
        <v>68</v>
      </c>
      <c r="D68" s="139">
        <f t="shared" ref="D68:L68" si="11">D69+D81</f>
        <v>102706.49999999999</v>
      </c>
      <c r="E68" s="139">
        <f t="shared" si="11"/>
        <v>-119.96</v>
      </c>
      <c r="F68" s="139">
        <f t="shared" si="11"/>
        <v>102510.43999999999</v>
      </c>
      <c r="G68" s="139">
        <f t="shared" si="11"/>
        <v>-976.3</v>
      </c>
      <c r="H68" s="139">
        <f t="shared" si="11"/>
        <v>101534.13999999998</v>
      </c>
      <c r="I68" s="139">
        <f t="shared" si="11"/>
        <v>96653.400000000009</v>
      </c>
      <c r="J68" s="139"/>
      <c r="K68" s="139">
        <f t="shared" si="11"/>
        <v>96653.400000000009</v>
      </c>
      <c r="L68" s="139">
        <f t="shared" si="11"/>
        <v>93742.1</v>
      </c>
      <c r="M68" s="139"/>
      <c r="N68" s="139">
        <f>N69+N81</f>
        <v>93742.1</v>
      </c>
    </row>
    <row r="69" spans="1:20" ht="39" x14ac:dyDescent="0.25">
      <c r="A69" s="36" t="s">
        <v>69</v>
      </c>
      <c r="B69" s="36"/>
      <c r="C69" s="37" t="s">
        <v>70</v>
      </c>
      <c r="D69" s="131">
        <f>D70+D77+D79+D72+D75</f>
        <v>101538.79999999999</v>
      </c>
      <c r="E69" s="131">
        <f>E70+E77+E79+E72+E75</f>
        <v>-119.96</v>
      </c>
      <c r="F69" s="131">
        <f>F70+F77+F79+F72+F75</f>
        <v>101342.73999999999</v>
      </c>
      <c r="G69" s="131">
        <f>G70+G77+G79</f>
        <v>-976.3</v>
      </c>
      <c r="H69" s="131">
        <f>H70+H77+H79+H72+H75</f>
        <v>100366.43999999999</v>
      </c>
      <c r="I69" s="131">
        <f>I70+I77+I79+I72+I75</f>
        <v>95440.400000000009</v>
      </c>
      <c r="J69" s="131"/>
      <c r="K69" s="131">
        <f>K70+K77+K79+K72+K75</f>
        <v>95440.400000000009</v>
      </c>
      <c r="L69" s="131">
        <f>L70+L77+L79+L72+L75</f>
        <v>92480.6</v>
      </c>
      <c r="M69" s="131"/>
      <c r="N69" s="131">
        <f>N70+N77+N79+N72+N75</f>
        <v>92480.6</v>
      </c>
    </row>
    <row r="70" spans="1:20" ht="26.25" x14ac:dyDescent="0.25">
      <c r="A70" s="7" t="s">
        <v>71</v>
      </c>
      <c r="B70" s="13"/>
      <c r="C70" s="3" t="s">
        <v>72</v>
      </c>
      <c r="D70" s="130">
        <f>D71</f>
        <v>28904.899999999998</v>
      </c>
      <c r="E70" s="130"/>
      <c r="F70" s="130">
        <f>F71</f>
        <v>28828.799999999999</v>
      </c>
      <c r="G70" s="130">
        <f>G71</f>
        <v>-906.8</v>
      </c>
      <c r="H70" s="130">
        <f>H71</f>
        <v>27922</v>
      </c>
      <c r="I70" s="130">
        <f>I71</f>
        <v>29358.5</v>
      </c>
      <c r="J70" s="130"/>
      <c r="K70" s="130">
        <f>K71</f>
        <v>29358.5</v>
      </c>
      <c r="L70" s="130">
        <f>L71</f>
        <v>29734.3</v>
      </c>
      <c r="M70" s="130"/>
      <c r="N70" s="130">
        <f>N71</f>
        <v>29734.3</v>
      </c>
    </row>
    <row r="71" spans="1:20" ht="26.25" x14ac:dyDescent="0.25">
      <c r="A71" s="7"/>
      <c r="B71" s="7" t="s">
        <v>608</v>
      </c>
      <c r="C71" s="3" t="s">
        <v>609</v>
      </c>
      <c r="D71" s="130">
        <f>29730.8-825.9</f>
        <v>28904.899999999998</v>
      </c>
      <c r="E71" s="130"/>
      <c r="F71" s="130">
        <v>28828.799999999999</v>
      </c>
      <c r="G71" s="146">
        <v>-906.8</v>
      </c>
      <c r="H71" s="130">
        <f>SUM(F71:G71)</f>
        <v>27922</v>
      </c>
      <c r="I71" s="130">
        <f>30880.8-1522.3</f>
        <v>29358.5</v>
      </c>
      <c r="J71" s="130"/>
      <c r="K71" s="130">
        <f>30880.8-1522.3</f>
        <v>29358.5</v>
      </c>
      <c r="L71" s="130">
        <f>32305.7-2571.4</f>
        <v>29734.3</v>
      </c>
      <c r="M71" s="130"/>
      <c r="N71" s="130">
        <f>32305.7-2571.4</f>
        <v>29734.3</v>
      </c>
    </row>
    <row r="72" spans="1:20" ht="39" x14ac:dyDescent="0.25">
      <c r="A72" s="7" t="s">
        <v>73</v>
      </c>
      <c r="B72" s="7"/>
      <c r="C72" s="3" t="s">
        <v>74</v>
      </c>
      <c r="D72" s="130">
        <f>D73+D74</f>
        <v>66238.7</v>
      </c>
      <c r="E72" s="130">
        <f>E73+E74</f>
        <v>0</v>
      </c>
      <c r="F72" s="130">
        <f>F73+F74</f>
        <v>66238.7</v>
      </c>
      <c r="G72" s="130"/>
      <c r="H72" s="130">
        <f>H73+H74</f>
        <v>66238.7</v>
      </c>
      <c r="I72" s="130">
        <f>I73+I74</f>
        <v>61020.800000000003</v>
      </c>
      <c r="J72" s="130"/>
      <c r="K72" s="130">
        <f>K73+K74</f>
        <v>61020.800000000003</v>
      </c>
      <c r="L72" s="130">
        <f>L73+L74</f>
        <v>57632.200000000004</v>
      </c>
      <c r="M72" s="130"/>
      <c r="N72" s="130">
        <f>N73+N74</f>
        <v>57632.200000000004</v>
      </c>
      <c r="O72" s="41"/>
      <c r="P72" s="41"/>
      <c r="Q72" s="41"/>
      <c r="R72" s="41"/>
      <c r="S72" s="41"/>
      <c r="T72" s="41"/>
    </row>
    <row r="73" spans="1:20" x14ac:dyDescent="0.25">
      <c r="A73" s="7"/>
      <c r="B73" s="7" t="s">
        <v>534</v>
      </c>
      <c r="C73" s="3" t="s">
        <v>535</v>
      </c>
      <c r="D73" s="130">
        <v>22.9</v>
      </c>
      <c r="E73" s="130"/>
      <c r="F73" s="130">
        <v>22.9</v>
      </c>
      <c r="G73" s="130"/>
      <c r="H73" s="130">
        <v>22.9</v>
      </c>
      <c r="I73" s="130">
        <v>22.9</v>
      </c>
      <c r="J73" s="130"/>
      <c r="K73" s="130">
        <v>22.9</v>
      </c>
      <c r="L73" s="130">
        <v>22.9</v>
      </c>
      <c r="M73" s="130"/>
      <c r="N73" s="130">
        <v>22.9</v>
      </c>
      <c r="O73" s="41"/>
      <c r="P73" s="41"/>
      <c r="Q73" s="41"/>
      <c r="R73" s="41"/>
      <c r="S73" s="41"/>
      <c r="T73" s="41"/>
    </row>
    <row r="74" spans="1:20" ht="26.25" x14ac:dyDescent="0.25">
      <c r="A74" s="7"/>
      <c r="B74" s="7" t="s">
        <v>608</v>
      </c>
      <c r="C74" s="3" t="s">
        <v>609</v>
      </c>
      <c r="D74" s="130">
        <f>66225.3-9.5</f>
        <v>66215.8</v>
      </c>
      <c r="E74" s="130"/>
      <c r="F74" s="130">
        <f>SUM(D74:E74)</f>
        <v>66215.8</v>
      </c>
      <c r="G74" s="130"/>
      <c r="H74" s="130">
        <f>SUM(F74:G74)</f>
        <v>66215.8</v>
      </c>
      <c r="I74" s="146">
        <f>61006.8-8.9</f>
        <v>60997.9</v>
      </c>
      <c r="J74" s="146"/>
      <c r="K74" s="146">
        <f>61006.8-8.9</f>
        <v>60997.9</v>
      </c>
      <c r="L74" s="146">
        <f>57618-8.7</f>
        <v>57609.3</v>
      </c>
      <c r="M74" s="146"/>
      <c r="N74" s="146">
        <f>57618-8.7</f>
        <v>57609.3</v>
      </c>
      <c r="O74" s="41"/>
      <c r="P74" s="41"/>
      <c r="Q74" s="41"/>
      <c r="R74" s="41"/>
      <c r="S74" s="41"/>
      <c r="T74" s="41"/>
    </row>
    <row r="75" spans="1:20" ht="39" x14ac:dyDescent="0.25">
      <c r="A75" s="7" t="s">
        <v>75</v>
      </c>
      <c r="B75" s="7"/>
      <c r="C75" s="3" t="s">
        <v>76</v>
      </c>
      <c r="D75" s="130">
        <v>5119.8999999999996</v>
      </c>
      <c r="E75" s="130"/>
      <c r="F75" s="130">
        <v>5119.8999999999996</v>
      </c>
      <c r="G75" s="130"/>
      <c r="H75" s="130">
        <v>5119.8999999999996</v>
      </c>
      <c r="I75" s="130">
        <v>3734.7</v>
      </c>
      <c r="J75" s="130"/>
      <c r="K75" s="130">
        <v>3734.7</v>
      </c>
      <c r="L75" s="130">
        <v>3734.7</v>
      </c>
      <c r="M75" s="130"/>
      <c r="N75" s="130">
        <v>3734.7</v>
      </c>
    </row>
    <row r="76" spans="1:20" ht="26.25" x14ac:dyDescent="0.25">
      <c r="A76" s="7"/>
      <c r="B76" s="7" t="s">
        <v>608</v>
      </c>
      <c r="C76" s="3" t="s">
        <v>609</v>
      </c>
      <c r="D76" s="130">
        <v>5119.8999999999996</v>
      </c>
      <c r="E76" s="130"/>
      <c r="F76" s="130">
        <v>5119.8999999999996</v>
      </c>
      <c r="G76" s="130"/>
      <c r="H76" s="130">
        <v>5119.8999999999996</v>
      </c>
      <c r="I76" s="130">
        <v>3734.7</v>
      </c>
      <c r="J76" s="130"/>
      <c r="K76" s="130">
        <v>3734.7</v>
      </c>
      <c r="L76" s="130">
        <v>3734.7</v>
      </c>
      <c r="M76" s="130"/>
      <c r="N76" s="130">
        <v>3734.7</v>
      </c>
    </row>
    <row r="77" spans="1:20" ht="26.25" x14ac:dyDescent="0.25">
      <c r="A77" s="7" t="s">
        <v>77</v>
      </c>
      <c r="B77" s="7"/>
      <c r="C77" s="3" t="s">
        <v>78</v>
      </c>
      <c r="D77" s="130">
        <v>1057.2</v>
      </c>
      <c r="E77" s="146">
        <v>-119.96</v>
      </c>
      <c r="F77" s="130">
        <f>SUM(D77:E77)</f>
        <v>937.24</v>
      </c>
      <c r="G77" s="130">
        <f>G78</f>
        <v>-90</v>
      </c>
      <c r="H77" s="130">
        <f>SUM(F77:G77)</f>
        <v>847.24</v>
      </c>
      <c r="I77" s="130">
        <v>1099.5</v>
      </c>
      <c r="J77" s="130"/>
      <c r="K77" s="130">
        <v>1099.5</v>
      </c>
      <c r="L77" s="130">
        <v>1143.5</v>
      </c>
      <c r="M77" s="130"/>
      <c r="N77" s="130">
        <v>1143.5</v>
      </c>
    </row>
    <row r="78" spans="1:20" ht="26.25" x14ac:dyDescent="0.25">
      <c r="A78" s="7"/>
      <c r="B78" s="7" t="s">
        <v>608</v>
      </c>
      <c r="C78" s="3" t="s">
        <v>609</v>
      </c>
      <c r="D78" s="130">
        <v>1057.2</v>
      </c>
      <c r="E78" s="146">
        <v>-119.96</v>
      </c>
      <c r="F78" s="130">
        <f>SUM(D78:E78)</f>
        <v>937.24</v>
      </c>
      <c r="G78" s="130">
        <v>-90</v>
      </c>
      <c r="H78" s="130">
        <f>SUM(F78:G78)</f>
        <v>847.24</v>
      </c>
      <c r="I78" s="130">
        <v>1099.5</v>
      </c>
      <c r="J78" s="130"/>
      <c r="K78" s="130">
        <v>1099.5</v>
      </c>
      <c r="L78" s="130">
        <v>1143.5</v>
      </c>
      <c r="M78" s="130"/>
      <c r="N78" s="130">
        <v>1143.5</v>
      </c>
    </row>
    <row r="79" spans="1:20" ht="26.25" x14ac:dyDescent="0.25">
      <c r="A79" s="17" t="s">
        <v>79</v>
      </c>
      <c r="B79" s="7"/>
      <c r="C79" s="3" t="s">
        <v>80</v>
      </c>
      <c r="D79" s="130">
        <v>218.1</v>
      </c>
      <c r="E79" s="146"/>
      <c r="F79" s="130">
        <v>218.1</v>
      </c>
      <c r="G79" s="130">
        <f>G80</f>
        <v>20.5</v>
      </c>
      <c r="H79" s="130">
        <f>H80</f>
        <v>238.6</v>
      </c>
      <c r="I79" s="130">
        <v>226.9</v>
      </c>
      <c r="J79" s="130"/>
      <c r="K79" s="130">
        <v>226.9</v>
      </c>
      <c r="L79" s="130">
        <v>235.9</v>
      </c>
      <c r="M79" s="130"/>
      <c r="N79" s="130">
        <v>235.9</v>
      </c>
      <c r="P79" s="42"/>
    </row>
    <row r="80" spans="1:20" ht="26.25" x14ac:dyDescent="0.25">
      <c r="A80" s="17"/>
      <c r="B80" s="7" t="s">
        <v>608</v>
      </c>
      <c r="C80" s="3" t="s">
        <v>609</v>
      </c>
      <c r="D80" s="130">
        <v>218.1</v>
      </c>
      <c r="E80" s="130"/>
      <c r="F80" s="130">
        <v>218.1</v>
      </c>
      <c r="G80" s="130">
        <v>20.5</v>
      </c>
      <c r="H80" s="130">
        <f>SUM(F80:G80)</f>
        <v>238.6</v>
      </c>
      <c r="I80" s="130">
        <v>226.9</v>
      </c>
      <c r="J80" s="130"/>
      <c r="K80" s="130">
        <v>226.9</v>
      </c>
      <c r="L80" s="130">
        <v>235.9</v>
      </c>
      <c r="M80" s="130"/>
      <c r="N80" s="130">
        <v>235.9</v>
      </c>
      <c r="P80" s="42"/>
    </row>
    <row r="81" spans="1:14" ht="39" x14ac:dyDescent="0.25">
      <c r="A81" s="36" t="s">
        <v>81</v>
      </c>
      <c r="B81" s="36"/>
      <c r="C81" s="37" t="s">
        <v>82</v>
      </c>
      <c r="D81" s="131">
        <f t="shared" ref="D81:N82" si="12">D82</f>
        <v>1167.7</v>
      </c>
      <c r="E81" s="131"/>
      <c r="F81" s="131">
        <f t="shared" si="12"/>
        <v>1167.7</v>
      </c>
      <c r="G81" s="131"/>
      <c r="H81" s="131">
        <f t="shared" si="12"/>
        <v>1167.7</v>
      </c>
      <c r="I81" s="131">
        <f t="shared" si="12"/>
        <v>1213</v>
      </c>
      <c r="J81" s="131"/>
      <c r="K81" s="131">
        <f t="shared" si="12"/>
        <v>1213</v>
      </c>
      <c r="L81" s="131">
        <f t="shared" si="12"/>
        <v>1261.5</v>
      </c>
      <c r="M81" s="131"/>
      <c r="N81" s="131">
        <f t="shared" si="12"/>
        <v>1261.5</v>
      </c>
    </row>
    <row r="82" spans="1:14" x14ac:dyDescent="0.25">
      <c r="A82" s="7" t="s">
        <v>83</v>
      </c>
      <c r="B82" s="7"/>
      <c r="C82" s="9" t="s">
        <v>84</v>
      </c>
      <c r="D82" s="130">
        <f>D83</f>
        <v>1167.7</v>
      </c>
      <c r="E82" s="130"/>
      <c r="F82" s="130">
        <f>F83</f>
        <v>1167.7</v>
      </c>
      <c r="G82" s="130"/>
      <c r="H82" s="130">
        <f>H83</f>
        <v>1167.7</v>
      </c>
      <c r="I82" s="130">
        <f t="shared" si="12"/>
        <v>1213</v>
      </c>
      <c r="J82" s="130"/>
      <c r="K82" s="130">
        <f t="shared" si="12"/>
        <v>1213</v>
      </c>
      <c r="L82" s="130">
        <f t="shared" si="12"/>
        <v>1261.5</v>
      </c>
      <c r="M82" s="130"/>
      <c r="N82" s="130">
        <f t="shared" si="12"/>
        <v>1261.5</v>
      </c>
    </row>
    <row r="83" spans="1:14" ht="26.25" x14ac:dyDescent="0.25">
      <c r="A83" s="7"/>
      <c r="B83" s="7" t="s">
        <v>608</v>
      </c>
      <c r="C83" s="3" t="s">
        <v>609</v>
      </c>
      <c r="D83" s="146">
        <v>1167.7</v>
      </c>
      <c r="E83" s="146"/>
      <c r="F83" s="146">
        <v>1167.7</v>
      </c>
      <c r="G83" s="146"/>
      <c r="H83" s="146">
        <v>1167.7</v>
      </c>
      <c r="I83" s="146">
        <f>1217.1-4.1</f>
        <v>1213</v>
      </c>
      <c r="J83" s="146"/>
      <c r="K83" s="146">
        <f>1217.1-4.1</f>
        <v>1213</v>
      </c>
      <c r="L83" s="146">
        <f>1265.8-4.3</f>
        <v>1261.5</v>
      </c>
      <c r="M83" s="146"/>
      <c r="N83" s="146">
        <f>1265.8-4.3</f>
        <v>1261.5</v>
      </c>
    </row>
    <row r="84" spans="1:14" x14ac:dyDescent="0.25">
      <c r="A84" s="34" t="s">
        <v>85</v>
      </c>
      <c r="B84" s="34"/>
      <c r="C84" s="35" t="s">
        <v>86</v>
      </c>
      <c r="D84" s="139">
        <f t="shared" ref="D84:M84" si="13">D85+D94+D113</f>
        <v>326300.10000000003</v>
      </c>
      <c r="E84" s="139">
        <f t="shared" si="13"/>
        <v>3981.7</v>
      </c>
      <c r="F84" s="139">
        <f t="shared" si="13"/>
        <v>329975.11878000002</v>
      </c>
      <c r="G84" s="139">
        <f t="shared" si="13"/>
        <v>-562</v>
      </c>
      <c r="H84" s="139">
        <f t="shared" si="13"/>
        <v>329413.11878000002</v>
      </c>
      <c r="I84" s="139">
        <f t="shared" si="13"/>
        <v>275027.16000000003</v>
      </c>
      <c r="J84" s="139">
        <f t="shared" si="13"/>
        <v>0</v>
      </c>
      <c r="K84" s="139">
        <f t="shared" si="13"/>
        <v>275027.16000000003</v>
      </c>
      <c r="L84" s="139">
        <f t="shared" si="13"/>
        <v>252700.60000000003</v>
      </c>
      <c r="M84" s="139">
        <f t="shared" si="13"/>
        <v>0</v>
      </c>
      <c r="N84" s="139">
        <f>N85+N94+N113</f>
        <v>252700.60000000003</v>
      </c>
    </row>
    <row r="85" spans="1:14" ht="39" x14ac:dyDescent="0.25">
      <c r="A85" s="36" t="s">
        <v>87</v>
      </c>
      <c r="B85" s="36"/>
      <c r="C85" s="37" t="s">
        <v>88</v>
      </c>
      <c r="D85" s="131">
        <f t="shared" ref="D85:L85" si="14">D86+D88+D90</f>
        <v>206037.90000000002</v>
      </c>
      <c r="E85" s="131">
        <f t="shared" si="14"/>
        <v>0</v>
      </c>
      <c r="F85" s="131">
        <f t="shared" si="14"/>
        <v>205790.40000000002</v>
      </c>
      <c r="G85" s="131">
        <f t="shared" si="14"/>
        <v>-36.5</v>
      </c>
      <c r="H85" s="131">
        <f t="shared" si="14"/>
        <v>205753.9</v>
      </c>
      <c r="I85" s="131">
        <f t="shared" si="14"/>
        <v>207179.60000000003</v>
      </c>
      <c r="J85" s="131"/>
      <c r="K85" s="131">
        <f t="shared" si="14"/>
        <v>207179.60000000003</v>
      </c>
      <c r="L85" s="131">
        <f t="shared" si="14"/>
        <v>203819.10000000003</v>
      </c>
      <c r="M85" s="131"/>
      <c r="N85" s="131">
        <f>N86+N88+N90</f>
        <v>203819.10000000003</v>
      </c>
    </row>
    <row r="86" spans="1:14" ht="26.25" x14ac:dyDescent="0.25">
      <c r="A86" s="7" t="s">
        <v>89</v>
      </c>
      <c r="B86" s="13"/>
      <c r="C86" s="3" t="s">
        <v>90</v>
      </c>
      <c r="D86" s="130">
        <f>33832.3-745.6</f>
        <v>33086.700000000004</v>
      </c>
      <c r="E86" s="130"/>
      <c r="F86" s="130">
        <f>F87</f>
        <v>32839.199999999997</v>
      </c>
      <c r="G86" s="130">
        <f>G87</f>
        <v>-69.7</v>
      </c>
      <c r="H86" s="130">
        <f>SUM(F86:G86)</f>
        <v>32769.5</v>
      </c>
      <c r="I86" s="130">
        <f>34916.1-1321.9</f>
        <v>33594.199999999997</v>
      </c>
      <c r="J86" s="130"/>
      <c r="K86" s="130">
        <f>34916.1-1321.9</f>
        <v>33594.199999999997</v>
      </c>
      <c r="L86" s="130">
        <f>36046.7-2251</f>
        <v>33795.699999999997</v>
      </c>
      <c r="M86" s="130"/>
      <c r="N86" s="130">
        <f>36046.7-2251</f>
        <v>33795.699999999997</v>
      </c>
    </row>
    <row r="87" spans="1:14" ht="26.25" x14ac:dyDescent="0.25">
      <c r="A87" s="7"/>
      <c r="B87" s="7" t="s">
        <v>608</v>
      </c>
      <c r="C87" s="3" t="s">
        <v>609</v>
      </c>
      <c r="D87" s="130">
        <v>33086.700000000004</v>
      </c>
      <c r="E87" s="130"/>
      <c r="F87" s="130">
        <v>32839.199999999997</v>
      </c>
      <c r="G87" s="146">
        <v>-69.7</v>
      </c>
      <c r="H87" s="130">
        <f>SUM(F87:G87)</f>
        <v>32769.5</v>
      </c>
      <c r="I87" s="130">
        <v>33594.199999999997</v>
      </c>
      <c r="J87" s="130"/>
      <c r="K87" s="130">
        <v>33594.199999999997</v>
      </c>
      <c r="L87" s="130">
        <v>33795.699999999997</v>
      </c>
      <c r="M87" s="130"/>
      <c r="N87" s="130">
        <v>33795.699999999997</v>
      </c>
    </row>
    <row r="88" spans="1:14" ht="51.75" x14ac:dyDescent="0.25">
      <c r="A88" s="7" t="s">
        <v>91</v>
      </c>
      <c r="B88" s="7"/>
      <c r="C88" s="3" t="s">
        <v>92</v>
      </c>
      <c r="D88" s="130">
        <f>D89</f>
        <v>167462</v>
      </c>
      <c r="E88" s="130"/>
      <c r="F88" s="130">
        <f>F89</f>
        <v>167462</v>
      </c>
      <c r="G88" s="130"/>
      <c r="H88" s="130">
        <f>H89</f>
        <v>167462</v>
      </c>
      <c r="I88" s="130">
        <f>I89</f>
        <v>168096.2</v>
      </c>
      <c r="J88" s="130"/>
      <c r="K88" s="130">
        <f>K89</f>
        <v>168096.2</v>
      </c>
      <c r="L88" s="130">
        <f>L89</f>
        <v>164534.20000000001</v>
      </c>
      <c r="M88" s="130"/>
      <c r="N88" s="130">
        <f>N89</f>
        <v>164534.20000000001</v>
      </c>
    </row>
    <row r="89" spans="1:14" ht="26.25" x14ac:dyDescent="0.25">
      <c r="A89" s="7"/>
      <c r="B89" s="7" t="s">
        <v>608</v>
      </c>
      <c r="C89" s="3" t="s">
        <v>609</v>
      </c>
      <c r="D89" s="130">
        <f>167503.7-41.7</f>
        <v>167462</v>
      </c>
      <c r="E89" s="130"/>
      <c r="F89" s="130">
        <f>SUM(D89:E89)</f>
        <v>167462</v>
      </c>
      <c r="G89" s="130"/>
      <c r="H89" s="130">
        <f>SUM(F89:G89)</f>
        <v>167462</v>
      </c>
      <c r="I89" s="130">
        <f>168138.5-42.3</f>
        <v>168096.2</v>
      </c>
      <c r="J89" s="130"/>
      <c r="K89" s="130">
        <f>168138.5-42.3</f>
        <v>168096.2</v>
      </c>
      <c r="L89" s="130">
        <f>164576.7-42.5</f>
        <v>164534.20000000001</v>
      </c>
      <c r="M89" s="130"/>
      <c r="N89" s="130">
        <f>164576.7-42.5</f>
        <v>164534.20000000001</v>
      </c>
    </row>
    <row r="90" spans="1:14" ht="77.25" x14ac:dyDescent="0.25">
      <c r="A90" s="7" t="s">
        <v>93</v>
      </c>
      <c r="B90" s="7"/>
      <c r="C90" s="3" t="s">
        <v>94</v>
      </c>
      <c r="D90" s="145">
        <f>D92+D93</f>
        <v>5489.2</v>
      </c>
      <c r="E90" s="145"/>
      <c r="F90" s="145">
        <f>F92+F93</f>
        <v>5489.2</v>
      </c>
      <c r="G90" s="145">
        <f>G91</f>
        <v>33.200000000000003</v>
      </c>
      <c r="H90" s="145">
        <f>SUM(F90:G90)</f>
        <v>5522.4</v>
      </c>
      <c r="I90" s="145">
        <f>I92+I93</f>
        <v>5489.2</v>
      </c>
      <c r="J90" s="145"/>
      <c r="K90" s="145">
        <f>K92+K93</f>
        <v>5489.2</v>
      </c>
      <c r="L90" s="145">
        <f>L92+L93</f>
        <v>5489.2</v>
      </c>
      <c r="M90" s="145"/>
      <c r="N90" s="145">
        <f>N92+N93</f>
        <v>5489.2</v>
      </c>
    </row>
    <row r="91" spans="1:14" ht="26.25" x14ac:dyDescent="0.25">
      <c r="A91" s="7"/>
      <c r="B91" s="7" t="s">
        <v>608</v>
      </c>
      <c r="C91" s="3" t="s">
        <v>609</v>
      </c>
      <c r="D91" s="145">
        <v>5489.2</v>
      </c>
      <c r="E91" s="145"/>
      <c r="F91" s="145">
        <v>5489.2</v>
      </c>
      <c r="G91" s="145">
        <v>33.200000000000003</v>
      </c>
      <c r="H91" s="145">
        <f>SUM(H92:H93)</f>
        <v>5522.4</v>
      </c>
      <c r="I91" s="145">
        <v>5489.2</v>
      </c>
      <c r="J91" s="145"/>
      <c r="K91" s="145">
        <v>5489.2</v>
      </c>
      <c r="L91" s="145">
        <v>5489.2</v>
      </c>
      <c r="M91" s="145"/>
      <c r="N91" s="145">
        <v>5489.2</v>
      </c>
    </row>
    <row r="92" spans="1:14" x14ac:dyDescent="0.25">
      <c r="A92" s="7"/>
      <c r="B92" s="7"/>
      <c r="C92" s="3" t="s">
        <v>95</v>
      </c>
      <c r="D92" s="130">
        <v>5077.5</v>
      </c>
      <c r="E92" s="130"/>
      <c r="F92" s="130">
        <v>5077.5</v>
      </c>
      <c r="G92" s="130"/>
      <c r="H92" s="130">
        <v>5077.5</v>
      </c>
      <c r="I92" s="130">
        <v>5077.5</v>
      </c>
      <c r="J92" s="130"/>
      <c r="K92" s="130">
        <v>5077.5</v>
      </c>
      <c r="L92" s="130">
        <v>5077.5</v>
      </c>
      <c r="M92" s="130"/>
      <c r="N92" s="130">
        <v>5077.5</v>
      </c>
    </row>
    <row r="93" spans="1:14" x14ac:dyDescent="0.25">
      <c r="A93" s="7"/>
      <c r="B93" s="7"/>
      <c r="C93" s="3" t="s">
        <v>96</v>
      </c>
      <c r="D93" s="130">
        <v>411.7</v>
      </c>
      <c r="E93" s="130"/>
      <c r="F93" s="130">
        <v>411.7</v>
      </c>
      <c r="G93" s="130">
        <v>33.200000000000003</v>
      </c>
      <c r="H93" s="130">
        <f>SUM(F93:G93)</f>
        <v>444.9</v>
      </c>
      <c r="I93" s="130">
        <v>411.7</v>
      </c>
      <c r="J93" s="130"/>
      <c r="K93" s="130">
        <v>411.7</v>
      </c>
      <c r="L93" s="130">
        <v>411.7</v>
      </c>
      <c r="M93" s="130"/>
      <c r="N93" s="130">
        <v>411.7</v>
      </c>
    </row>
    <row r="94" spans="1:14" ht="39" x14ac:dyDescent="0.25">
      <c r="A94" s="36" t="s">
        <v>97</v>
      </c>
      <c r="B94" s="36"/>
      <c r="C94" s="37" t="s">
        <v>98</v>
      </c>
      <c r="D94" s="131">
        <f t="shared" ref="D94:L94" si="15">D95+D97+D99+D101+D107+D109+D103+D105+D111</f>
        <v>48254.100000000006</v>
      </c>
      <c r="E94" s="131">
        <f t="shared" si="15"/>
        <v>200.06</v>
      </c>
      <c r="F94" s="131">
        <f t="shared" si="15"/>
        <v>48394.978780000005</v>
      </c>
      <c r="G94" s="131">
        <f t="shared" si="15"/>
        <v>-525.5</v>
      </c>
      <c r="H94" s="131">
        <f t="shared" si="15"/>
        <v>47869.478779999998</v>
      </c>
      <c r="I94" s="131">
        <f t="shared" si="15"/>
        <v>47009.2</v>
      </c>
      <c r="J94" s="131"/>
      <c r="K94" s="131">
        <f t="shared" si="15"/>
        <v>47009.2</v>
      </c>
      <c r="L94" s="131">
        <f t="shared" si="15"/>
        <v>44781.500000000007</v>
      </c>
      <c r="M94" s="131"/>
      <c r="N94" s="131">
        <f>N95+N97+N99+N101+N107+N109+N103+N105+N111</f>
        <v>44781.500000000007</v>
      </c>
    </row>
    <row r="95" spans="1:14" ht="26.25" x14ac:dyDescent="0.25">
      <c r="A95" s="7" t="s">
        <v>99</v>
      </c>
      <c r="B95" s="7"/>
      <c r="C95" s="3" t="s">
        <v>100</v>
      </c>
      <c r="D95" s="130">
        <f>D96</f>
        <v>6117.2</v>
      </c>
      <c r="E95" s="146">
        <v>108.12</v>
      </c>
      <c r="F95" s="130">
        <f>F96</f>
        <v>6340.92</v>
      </c>
      <c r="G95" s="146"/>
      <c r="H95" s="130">
        <f>H96</f>
        <v>6340.92</v>
      </c>
      <c r="I95" s="130">
        <f>I96</f>
        <v>6361.9</v>
      </c>
      <c r="J95" s="130"/>
      <c r="K95" s="130">
        <f>K96</f>
        <v>6361.9</v>
      </c>
      <c r="L95" s="130">
        <f>L96</f>
        <v>6616.4000000000005</v>
      </c>
      <c r="M95" s="130"/>
      <c r="N95" s="130">
        <f>N96</f>
        <v>6616.4000000000005</v>
      </c>
    </row>
    <row r="96" spans="1:14" ht="26.25" x14ac:dyDescent="0.25">
      <c r="A96" s="7"/>
      <c r="B96" s="7" t="s">
        <v>608</v>
      </c>
      <c r="C96" s="3" t="s">
        <v>609</v>
      </c>
      <c r="D96" s="146">
        <v>6117.2</v>
      </c>
      <c r="E96" s="146">
        <v>108.12</v>
      </c>
      <c r="F96" s="146">
        <v>6340.92</v>
      </c>
      <c r="G96" s="130"/>
      <c r="H96" s="146">
        <f>SUM(F96:G96)</f>
        <v>6340.92</v>
      </c>
      <c r="I96" s="146">
        <f>7474.2-135.4-868.3-108.6</f>
        <v>6361.9</v>
      </c>
      <c r="J96" s="146"/>
      <c r="K96" s="146">
        <f>7474.2-135.4-868.3-108.6</f>
        <v>6361.9</v>
      </c>
      <c r="L96" s="146">
        <f>7773.2-140.9-903-112.9</f>
        <v>6616.4000000000005</v>
      </c>
      <c r="M96" s="146"/>
      <c r="N96" s="146">
        <f>7773.2-140.9-903-112.9</f>
        <v>6616.4000000000005</v>
      </c>
    </row>
    <row r="97" spans="1:14" ht="26.25" x14ac:dyDescent="0.25">
      <c r="A97" s="7" t="s">
        <v>101</v>
      </c>
      <c r="B97" s="7"/>
      <c r="C97" s="3" t="s">
        <v>80</v>
      </c>
      <c r="D97" s="130">
        <v>2029.8</v>
      </c>
      <c r="E97" s="146"/>
      <c r="F97" s="130">
        <v>1931.79206</v>
      </c>
      <c r="G97" s="130">
        <f>G98</f>
        <v>-525.5</v>
      </c>
      <c r="H97" s="130">
        <f>SUM(H98)</f>
        <v>1406.29206</v>
      </c>
      <c r="I97" s="130">
        <v>2111</v>
      </c>
      <c r="J97" s="130"/>
      <c r="K97" s="130">
        <v>2111</v>
      </c>
      <c r="L97" s="130">
        <v>2195.5</v>
      </c>
      <c r="M97" s="130"/>
      <c r="N97" s="130">
        <v>2195.5</v>
      </c>
    </row>
    <row r="98" spans="1:14" ht="26.25" x14ac:dyDescent="0.25">
      <c r="A98" s="7"/>
      <c r="B98" s="7" t="s">
        <v>608</v>
      </c>
      <c r="C98" s="3" t="s">
        <v>609</v>
      </c>
      <c r="D98" s="130">
        <v>2029.8</v>
      </c>
      <c r="E98" s="146"/>
      <c r="F98" s="130">
        <v>1931.79206</v>
      </c>
      <c r="G98" s="130">
        <v>-525.5</v>
      </c>
      <c r="H98" s="130">
        <f>SUM(F98:G98)</f>
        <v>1406.29206</v>
      </c>
      <c r="I98" s="130">
        <v>2111</v>
      </c>
      <c r="J98" s="130"/>
      <c r="K98" s="130">
        <v>2111</v>
      </c>
      <c r="L98" s="130">
        <v>2195.5</v>
      </c>
      <c r="M98" s="130"/>
      <c r="N98" s="130">
        <v>2195.5</v>
      </c>
    </row>
    <row r="99" spans="1:14" ht="39" x14ac:dyDescent="0.25">
      <c r="A99" s="7" t="s">
        <v>102</v>
      </c>
      <c r="B99" s="7"/>
      <c r="C99" s="3" t="s">
        <v>103</v>
      </c>
      <c r="D99" s="130">
        <v>225.6</v>
      </c>
      <c r="E99" s="146">
        <f>E100</f>
        <v>11.84</v>
      </c>
      <c r="F99" s="130">
        <f>F100</f>
        <v>237.44</v>
      </c>
      <c r="G99" s="130"/>
      <c r="H99" s="130">
        <f>H100</f>
        <v>237.44</v>
      </c>
      <c r="I99" s="130">
        <v>234.7</v>
      </c>
      <c r="J99" s="130"/>
      <c r="K99" s="130">
        <v>234.7</v>
      </c>
      <c r="L99" s="130">
        <v>244.1</v>
      </c>
      <c r="M99" s="130"/>
      <c r="N99" s="130">
        <v>244.1</v>
      </c>
    </row>
    <row r="100" spans="1:14" ht="26.25" x14ac:dyDescent="0.25">
      <c r="A100" s="7"/>
      <c r="B100" s="7" t="s">
        <v>608</v>
      </c>
      <c r="C100" s="3" t="s">
        <v>609</v>
      </c>
      <c r="D100" s="130">
        <v>225.6</v>
      </c>
      <c r="E100" s="146">
        <v>11.84</v>
      </c>
      <c r="F100" s="130">
        <f>SUM(D100:E100)</f>
        <v>237.44</v>
      </c>
      <c r="G100" s="130"/>
      <c r="H100" s="130">
        <f>SUM(F100:G100)</f>
        <v>237.44</v>
      </c>
      <c r="I100" s="130">
        <v>234.7</v>
      </c>
      <c r="J100" s="130"/>
      <c r="K100" s="130">
        <v>234.7</v>
      </c>
      <c r="L100" s="130">
        <v>244.1</v>
      </c>
      <c r="M100" s="130"/>
      <c r="N100" s="130">
        <v>244.1</v>
      </c>
    </row>
    <row r="101" spans="1:14" ht="26.25" x14ac:dyDescent="0.25">
      <c r="A101" s="7" t="s">
        <v>104</v>
      </c>
      <c r="B101" s="7"/>
      <c r="C101" s="3" t="s">
        <v>105</v>
      </c>
      <c r="D101" s="130">
        <v>250.8</v>
      </c>
      <c r="E101" s="146">
        <f>E102</f>
        <v>80.099999999999994</v>
      </c>
      <c r="F101" s="130">
        <f>F102</f>
        <v>254.12671999999998</v>
      </c>
      <c r="G101" s="130"/>
      <c r="H101" s="130">
        <f>H102</f>
        <v>254.12671999999998</v>
      </c>
      <c r="I101" s="130">
        <v>260.8</v>
      </c>
      <c r="J101" s="130"/>
      <c r="K101" s="130">
        <v>260.8</v>
      </c>
      <c r="L101" s="130">
        <v>271.2</v>
      </c>
      <c r="M101" s="130"/>
      <c r="N101" s="130">
        <v>271.2</v>
      </c>
    </row>
    <row r="102" spans="1:14" ht="26.25" x14ac:dyDescent="0.25">
      <c r="A102" s="7"/>
      <c r="B102" s="7" t="s">
        <v>608</v>
      </c>
      <c r="C102" s="3" t="s">
        <v>609</v>
      </c>
      <c r="D102" s="130">
        <v>250.8</v>
      </c>
      <c r="E102" s="146">
        <v>80.099999999999994</v>
      </c>
      <c r="F102" s="130">
        <v>254.12671999999998</v>
      </c>
      <c r="G102" s="130"/>
      <c r="H102" s="130">
        <f>SUM(F102:G102)</f>
        <v>254.12671999999998</v>
      </c>
      <c r="I102" s="130">
        <v>260.8</v>
      </c>
      <c r="J102" s="130"/>
      <c r="K102" s="130">
        <v>260.8</v>
      </c>
      <c r="L102" s="130">
        <v>271.2</v>
      </c>
      <c r="M102" s="130"/>
      <c r="N102" s="130">
        <v>271.2</v>
      </c>
    </row>
    <row r="103" spans="1:14" ht="25.5" x14ac:dyDescent="0.25">
      <c r="A103" s="43" t="s">
        <v>106</v>
      </c>
      <c r="B103" s="7"/>
      <c r="C103" s="1" t="s">
        <v>107</v>
      </c>
      <c r="D103" s="130">
        <v>5176.8</v>
      </c>
      <c r="E103" s="130"/>
      <c r="F103" s="130">
        <v>5176.8</v>
      </c>
      <c r="G103" s="130"/>
      <c r="H103" s="130">
        <v>5176.8</v>
      </c>
      <c r="I103" s="130">
        <v>5159.6000000000004</v>
      </c>
      <c r="J103" s="130"/>
      <c r="K103" s="130">
        <v>5159.6000000000004</v>
      </c>
      <c r="L103" s="130">
        <v>5193.8999999999996</v>
      </c>
      <c r="M103" s="130"/>
      <c r="N103" s="130">
        <v>5193.8999999999996</v>
      </c>
    </row>
    <row r="104" spans="1:14" ht="26.25" x14ac:dyDescent="0.25">
      <c r="A104" s="43"/>
      <c r="B104" s="7" t="s">
        <v>608</v>
      </c>
      <c r="C104" s="3" t="s">
        <v>609</v>
      </c>
      <c r="D104" s="130">
        <v>5176.8</v>
      </c>
      <c r="E104" s="130"/>
      <c r="F104" s="130">
        <v>5176.8</v>
      </c>
      <c r="G104" s="130"/>
      <c r="H104" s="130">
        <v>5176.8</v>
      </c>
      <c r="I104" s="130">
        <v>5159.6000000000004</v>
      </c>
      <c r="J104" s="130"/>
      <c r="K104" s="130">
        <v>5159.6000000000004</v>
      </c>
      <c r="L104" s="130">
        <v>5193.8999999999996</v>
      </c>
      <c r="M104" s="130"/>
      <c r="N104" s="130">
        <v>5193.8999999999996</v>
      </c>
    </row>
    <row r="105" spans="1:14" ht="26.25" x14ac:dyDescent="0.25">
      <c r="A105" s="43" t="s">
        <v>108</v>
      </c>
      <c r="B105" s="7"/>
      <c r="C105" s="3" t="s">
        <v>109</v>
      </c>
      <c r="D105" s="130">
        <v>6668</v>
      </c>
      <c r="E105" s="130"/>
      <c r="F105" s="130">
        <v>6668</v>
      </c>
      <c r="G105" s="130"/>
      <c r="H105" s="130">
        <v>6668</v>
      </c>
      <c r="I105" s="130">
        <v>6616.6</v>
      </c>
      <c r="J105" s="130"/>
      <c r="K105" s="130">
        <v>6616.6</v>
      </c>
      <c r="L105" s="130">
        <v>6410.9</v>
      </c>
      <c r="M105" s="130"/>
      <c r="N105" s="130">
        <v>6410.9</v>
      </c>
    </row>
    <row r="106" spans="1:14" ht="26.25" x14ac:dyDescent="0.25">
      <c r="A106" s="43"/>
      <c r="B106" s="7" t="s">
        <v>608</v>
      </c>
      <c r="C106" s="3" t="s">
        <v>609</v>
      </c>
      <c r="D106" s="130">
        <v>6668</v>
      </c>
      <c r="E106" s="130"/>
      <c r="F106" s="130">
        <v>6668</v>
      </c>
      <c r="G106" s="130"/>
      <c r="H106" s="130">
        <v>6668</v>
      </c>
      <c r="I106" s="130">
        <v>6616.6</v>
      </c>
      <c r="J106" s="130"/>
      <c r="K106" s="130">
        <v>6616.6</v>
      </c>
      <c r="L106" s="130">
        <v>6410.9</v>
      </c>
      <c r="M106" s="130"/>
      <c r="N106" s="130">
        <v>6410.9</v>
      </c>
    </row>
    <row r="107" spans="1:14" ht="39" x14ac:dyDescent="0.25">
      <c r="A107" s="7" t="s">
        <v>110</v>
      </c>
      <c r="B107" s="7"/>
      <c r="C107" s="3" t="s">
        <v>111</v>
      </c>
      <c r="D107" s="130">
        <v>12128.1</v>
      </c>
      <c r="E107" s="130"/>
      <c r="F107" s="130">
        <v>12128.1</v>
      </c>
      <c r="G107" s="130"/>
      <c r="H107" s="130">
        <v>12128.1</v>
      </c>
      <c r="I107" s="130">
        <v>12128.1</v>
      </c>
      <c r="J107" s="130"/>
      <c r="K107" s="130">
        <v>12128.1</v>
      </c>
      <c r="L107" s="130">
        <v>12128.1</v>
      </c>
      <c r="M107" s="130"/>
      <c r="N107" s="130">
        <v>12128.1</v>
      </c>
    </row>
    <row r="108" spans="1:14" ht="26.25" x14ac:dyDescent="0.25">
      <c r="A108" s="7"/>
      <c r="B108" s="7" t="s">
        <v>608</v>
      </c>
      <c r="C108" s="3" t="s">
        <v>609</v>
      </c>
      <c r="D108" s="130">
        <v>12128.1</v>
      </c>
      <c r="E108" s="130"/>
      <c r="F108" s="130">
        <v>12128.1</v>
      </c>
      <c r="G108" s="130"/>
      <c r="H108" s="130">
        <v>12128.1</v>
      </c>
      <c r="I108" s="130">
        <v>12128.1</v>
      </c>
      <c r="J108" s="130"/>
      <c r="K108" s="130">
        <v>12128.1</v>
      </c>
      <c r="L108" s="130">
        <v>12128.1</v>
      </c>
      <c r="M108" s="130"/>
      <c r="N108" s="130">
        <v>12128.1</v>
      </c>
    </row>
    <row r="109" spans="1:14" ht="39" x14ac:dyDescent="0.25">
      <c r="A109" s="7" t="s">
        <v>112</v>
      </c>
      <c r="B109" s="7"/>
      <c r="C109" s="3" t="s">
        <v>546</v>
      </c>
      <c r="D109" s="130">
        <v>12157.8</v>
      </c>
      <c r="E109" s="130"/>
      <c r="F109" s="130">
        <v>12157.8</v>
      </c>
      <c r="G109" s="130"/>
      <c r="H109" s="130">
        <v>12157.8</v>
      </c>
      <c r="I109" s="130">
        <v>12003.5</v>
      </c>
      <c r="J109" s="130"/>
      <c r="K109" s="130">
        <v>12003.5</v>
      </c>
      <c r="L109" s="130">
        <v>11721.4</v>
      </c>
      <c r="M109" s="130"/>
      <c r="N109" s="130">
        <v>11721.4</v>
      </c>
    </row>
    <row r="110" spans="1:14" ht="26.25" x14ac:dyDescent="0.25">
      <c r="A110" s="7"/>
      <c r="B110" s="7" t="s">
        <v>608</v>
      </c>
      <c r="C110" s="3" t="s">
        <v>609</v>
      </c>
      <c r="D110" s="130">
        <v>12157.8</v>
      </c>
      <c r="E110" s="130"/>
      <c r="F110" s="130">
        <v>12157.8</v>
      </c>
      <c r="G110" s="130"/>
      <c r="H110" s="130">
        <v>12157.8</v>
      </c>
      <c r="I110" s="130">
        <v>12003.5</v>
      </c>
      <c r="J110" s="130"/>
      <c r="K110" s="130">
        <v>12003.5</v>
      </c>
      <c r="L110" s="130">
        <v>11721.4</v>
      </c>
      <c r="M110" s="130"/>
      <c r="N110" s="130">
        <v>11721.4</v>
      </c>
    </row>
    <row r="111" spans="1:14" ht="26.25" x14ac:dyDescent="0.25">
      <c r="A111" s="7" t="s">
        <v>547</v>
      </c>
      <c r="B111" s="7"/>
      <c r="C111" s="3" t="s">
        <v>759</v>
      </c>
      <c r="D111" s="130">
        <f>D112</f>
        <v>3500</v>
      </c>
      <c r="E111" s="130"/>
      <c r="F111" s="130">
        <f>F112</f>
        <v>3500</v>
      </c>
      <c r="G111" s="130"/>
      <c r="H111" s="130">
        <f>H112</f>
        <v>3500</v>
      </c>
      <c r="I111" s="130">
        <v>2133</v>
      </c>
      <c r="J111" s="130"/>
      <c r="K111" s="130">
        <v>2133</v>
      </c>
      <c r="L111" s="130">
        <v>0</v>
      </c>
      <c r="M111" s="130"/>
      <c r="N111" s="130">
        <v>0</v>
      </c>
    </row>
    <row r="112" spans="1:14" ht="26.25" x14ac:dyDescent="0.25">
      <c r="A112" s="7"/>
      <c r="B112" s="7" t="s">
        <v>608</v>
      </c>
      <c r="C112" s="3" t="s">
        <v>609</v>
      </c>
      <c r="D112" s="130">
        <v>3500</v>
      </c>
      <c r="E112" s="130"/>
      <c r="F112" s="130">
        <v>3500</v>
      </c>
      <c r="G112" s="130"/>
      <c r="H112" s="130">
        <v>3500</v>
      </c>
      <c r="I112" s="130">
        <v>2133</v>
      </c>
      <c r="J112" s="130"/>
      <c r="K112" s="130">
        <v>2133</v>
      </c>
      <c r="L112" s="130">
        <v>0</v>
      </c>
      <c r="M112" s="130"/>
      <c r="N112" s="130">
        <v>0</v>
      </c>
    </row>
    <row r="113" spans="1:16" s="44" customFormat="1" ht="39" x14ac:dyDescent="0.25">
      <c r="A113" s="36" t="s">
        <v>114</v>
      </c>
      <c r="B113" s="36"/>
      <c r="C113" s="37" t="s">
        <v>115</v>
      </c>
      <c r="D113" s="131">
        <f>D114+D121</f>
        <v>72008.100000000006</v>
      </c>
      <c r="E113" s="131">
        <f>E114+E121</f>
        <v>3781.64</v>
      </c>
      <c r="F113" s="131">
        <f>F114+F121</f>
        <v>75789.740000000005</v>
      </c>
      <c r="G113" s="131"/>
      <c r="H113" s="131">
        <f>H114+H121</f>
        <v>75789.740000000005</v>
      </c>
      <c r="I113" s="131">
        <f>I114+I121+I119</f>
        <v>20838.36</v>
      </c>
      <c r="J113" s="131">
        <f>J114+J121+J119</f>
        <v>0</v>
      </c>
      <c r="K113" s="131">
        <f>K114+K121+K119</f>
        <v>20838.36</v>
      </c>
      <c r="L113" s="131">
        <f>L114+L121+L119</f>
        <v>4100</v>
      </c>
      <c r="M113" s="131">
        <f>M114+M121+M119</f>
        <v>0</v>
      </c>
      <c r="N113" s="131">
        <f>N114+N119+N121</f>
        <v>4100</v>
      </c>
    </row>
    <row r="114" spans="1:16" s="44" customFormat="1" ht="25.5" x14ac:dyDescent="0.25">
      <c r="A114" s="7" t="s">
        <v>116</v>
      </c>
      <c r="B114" s="7"/>
      <c r="C114" s="2" t="s">
        <v>117</v>
      </c>
      <c r="D114" s="130">
        <f>D116+D117+D118</f>
        <v>72008.100000000006</v>
      </c>
      <c r="E114" s="146">
        <f>E116+E117+E118</f>
        <v>3781.64</v>
      </c>
      <c r="F114" s="130">
        <f>F116+F117+F118</f>
        <v>75789.740000000005</v>
      </c>
      <c r="G114" s="130"/>
      <c r="H114" s="130">
        <f>H116+H117+H118</f>
        <v>75789.740000000005</v>
      </c>
      <c r="I114" s="130">
        <f>I115</f>
        <v>20838.36</v>
      </c>
      <c r="J114" s="146"/>
      <c r="K114" s="130">
        <f>K116+K117+K118</f>
        <v>20838.36</v>
      </c>
      <c r="L114" s="130">
        <v>0</v>
      </c>
      <c r="M114" s="130"/>
      <c r="N114" s="130">
        <v>0</v>
      </c>
    </row>
    <row r="115" spans="1:16" s="44" customFormat="1" ht="26.25" x14ac:dyDescent="0.25">
      <c r="A115" s="7"/>
      <c r="B115" s="24" t="s">
        <v>362</v>
      </c>
      <c r="C115" s="3" t="s">
        <v>363</v>
      </c>
      <c r="D115" s="130">
        <v>72008.100000000006</v>
      </c>
      <c r="E115" s="146">
        <f>E118</f>
        <v>3781.64</v>
      </c>
      <c r="F115" s="130">
        <f>F116+F117+F118</f>
        <v>75789.740000000005</v>
      </c>
      <c r="G115" s="130"/>
      <c r="H115" s="130">
        <f>H116+H117+H118</f>
        <v>75789.740000000005</v>
      </c>
      <c r="I115" s="130">
        <v>20838.36</v>
      </c>
      <c r="J115" s="130"/>
      <c r="K115" s="130">
        <f>K117+K118</f>
        <v>20838.36</v>
      </c>
      <c r="L115" s="130">
        <v>0</v>
      </c>
      <c r="M115" s="130"/>
      <c r="N115" s="130">
        <v>0</v>
      </c>
    </row>
    <row r="116" spans="1:16" x14ac:dyDescent="0.25">
      <c r="A116" s="7"/>
      <c r="B116" s="7"/>
      <c r="C116" s="3" t="s">
        <v>118</v>
      </c>
      <c r="D116" s="130">
        <v>50000</v>
      </c>
      <c r="E116" s="146"/>
      <c r="F116" s="130">
        <v>50000</v>
      </c>
      <c r="G116" s="130"/>
      <c r="H116" s="130">
        <v>50000</v>
      </c>
      <c r="I116" s="130">
        <v>0</v>
      </c>
      <c r="J116" s="130"/>
      <c r="K116" s="130">
        <f>J116</f>
        <v>0</v>
      </c>
      <c r="L116" s="130">
        <v>0</v>
      </c>
      <c r="M116" s="130"/>
      <c r="N116" s="130">
        <v>0</v>
      </c>
    </row>
    <row r="117" spans="1:16" x14ac:dyDescent="0.25">
      <c r="A117" s="7"/>
      <c r="B117" s="7"/>
      <c r="C117" s="3" t="s">
        <v>119</v>
      </c>
      <c r="D117" s="130">
        <v>8338.9</v>
      </c>
      <c r="E117" s="146"/>
      <c r="F117" s="130">
        <v>8338.9</v>
      </c>
      <c r="G117" s="130"/>
      <c r="H117" s="130">
        <v>8338.9</v>
      </c>
      <c r="I117" s="130">
        <v>10359.5</v>
      </c>
      <c r="J117" s="130"/>
      <c r="K117" s="130">
        <v>10359.5</v>
      </c>
      <c r="L117" s="130">
        <v>0</v>
      </c>
      <c r="M117" s="130"/>
      <c r="N117" s="130">
        <v>0</v>
      </c>
    </row>
    <row r="118" spans="1:16" x14ac:dyDescent="0.25">
      <c r="A118" s="7"/>
      <c r="B118" s="7"/>
      <c r="C118" s="3" t="s">
        <v>120</v>
      </c>
      <c r="D118" s="130">
        <v>13669.2</v>
      </c>
      <c r="E118" s="146">
        <v>3781.64</v>
      </c>
      <c r="F118" s="130">
        <f>SUM(D118:E118)</f>
        <v>17450.84</v>
      </c>
      <c r="G118" s="130"/>
      <c r="H118" s="130">
        <f>SUM(F118:G118)</f>
        <v>17450.84</v>
      </c>
      <c r="I118" s="130">
        <v>10478.86</v>
      </c>
      <c r="J118" s="130"/>
      <c r="K118" s="130">
        <v>10478.86</v>
      </c>
      <c r="L118" s="130">
        <v>0</v>
      </c>
      <c r="M118" s="130"/>
      <c r="N118" s="130">
        <v>0</v>
      </c>
    </row>
    <row r="119" spans="1:16" ht="25.5" x14ac:dyDescent="0.25">
      <c r="A119" s="7" t="s">
        <v>778</v>
      </c>
      <c r="B119" s="7"/>
      <c r="C119" s="77" t="s">
        <v>549</v>
      </c>
      <c r="D119" s="130"/>
      <c r="E119" s="146"/>
      <c r="F119" s="130">
        <v>0</v>
      </c>
      <c r="G119" s="130"/>
      <c r="H119" s="130">
        <v>0</v>
      </c>
      <c r="I119" s="130">
        <v>0</v>
      </c>
      <c r="J119" s="130">
        <f>J120</f>
        <v>0</v>
      </c>
      <c r="K119" s="130">
        <f>K120</f>
        <v>0</v>
      </c>
      <c r="L119" s="146">
        <v>4100</v>
      </c>
      <c r="M119" s="130"/>
      <c r="N119" s="130">
        <f>N120</f>
        <v>4100</v>
      </c>
    </row>
    <row r="120" spans="1:16" ht="26.25" x14ac:dyDescent="0.25">
      <c r="A120" s="7"/>
      <c r="B120" s="7" t="s">
        <v>336</v>
      </c>
      <c r="C120" s="3" t="s">
        <v>337</v>
      </c>
      <c r="D120" s="130"/>
      <c r="E120" s="130"/>
      <c r="F120" s="130">
        <v>0</v>
      </c>
      <c r="G120" s="130"/>
      <c r="H120" s="130">
        <v>0</v>
      </c>
      <c r="I120" s="146">
        <v>0</v>
      </c>
      <c r="J120" s="130">
        <v>0</v>
      </c>
      <c r="K120" s="130">
        <f>4100-4100</f>
        <v>0</v>
      </c>
      <c r="L120" s="130">
        <v>4100</v>
      </c>
      <c r="M120" s="130"/>
      <c r="N120" s="146">
        <v>4100</v>
      </c>
    </row>
    <row r="121" spans="1:16" s="44" customFormat="1" ht="25.5" x14ac:dyDescent="0.25">
      <c r="A121" s="7" t="s">
        <v>550</v>
      </c>
      <c r="B121" s="7"/>
      <c r="C121" s="2" t="s">
        <v>121</v>
      </c>
      <c r="D121" s="130"/>
      <c r="E121" s="130"/>
      <c r="F121" s="130">
        <v>0</v>
      </c>
      <c r="G121" s="130"/>
      <c r="H121" s="130">
        <v>0</v>
      </c>
      <c r="I121" s="146">
        <v>0</v>
      </c>
      <c r="J121" s="130"/>
      <c r="K121" s="130">
        <v>0</v>
      </c>
      <c r="L121" s="130">
        <f>L123+L124</f>
        <v>0</v>
      </c>
      <c r="M121" s="130"/>
      <c r="N121" s="146">
        <f>N123+N124</f>
        <v>0</v>
      </c>
    </row>
    <row r="122" spans="1:16" s="44" customFormat="1" ht="26.25" x14ac:dyDescent="0.25">
      <c r="A122" s="7"/>
      <c r="B122" s="24" t="s">
        <v>362</v>
      </c>
      <c r="C122" s="3" t="s">
        <v>363</v>
      </c>
      <c r="D122" s="130"/>
      <c r="E122" s="130"/>
      <c r="F122" s="130">
        <v>0</v>
      </c>
      <c r="G122" s="130"/>
      <c r="H122" s="130">
        <v>0</v>
      </c>
      <c r="I122" s="146">
        <v>0</v>
      </c>
      <c r="J122" s="130"/>
      <c r="K122" s="130">
        <v>0</v>
      </c>
      <c r="L122" s="130">
        <v>0</v>
      </c>
      <c r="M122" s="130"/>
      <c r="N122" s="146">
        <f>N123+N124</f>
        <v>0</v>
      </c>
    </row>
    <row r="123" spans="1:16" x14ac:dyDescent="0.25">
      <c r="A123" s="7"/>
      <c r="B123" s="7"/>
      <c r="C123" s="3" t="s">
        <v>183</v>
      </c>
      <c r="D123" s="130"/>
      <c r="E123" s="130"/>
      <c r="F123" s="130">
        <v>0</v>
      </c>
      <c r="G123" s="130"/>
      <c r="H123" s="130">
        <v>0</v>
      </c>
      <c r="I123" s="146">
        <v>0</v>
      </c>
      <c r="J123" s="130"/>
      <c r="K123" s="130">
        <v>0</v>
      </c>
      <c r="L123" s="130">
        <v>0</v>
      </c>
      <c r="M123" s="130"/>
      <c r="N123" s="146">
        <v>0</v>
      </c>
    </row>
    <row r="124" spans="1:16" x14ac:dyDescent="0.25">
      <c r="A124" s="7"/>
      <c r="B124" s="7"/>
      <c r="C124" s="3" t="s">
        <v>120</v>
      </c>
      <c r="D124" s="130">
        <v>0</v>
      </c>
      <c r="E124" s="130"/>
      <c r="F124" s="130">
        <v>0</v>
      </c>
      <c r="G124" s="130"/>
      <c r="H124" s="130">
        <v>0</v>
      </c>
      <c r="I124" s="146">
        <v>0</v>
      </c>
      <c r="J124" s="130"/>
      <c r="K124" s="130">
        <v>0</v>
      </c>
      <c r="L124" s="130">
        <v>0</v>
      </c>
      <c r="M124" s="130"/>
      <c r="N124" s="146">
        <v>0</v>
      </c>
    </row>
    <row r="125" spans="1:16" x14ac:dyDescent="0.25">
      <c r="A125" s="34" t="s">
        <v>122</v>
      </c>
      <c r="B125" s="34"/>
      <c r="C125" s="35" t="s">
        <v>123</v>
      </c>
      <c r="D125" s="139">
        <f>D126</f>
        <v>31640.799999999999</v>
      </c>
      <c r="E125" s="139"/>
      <c r="F125" s="139">
        <f>F126</f>
        <v>31877.5</v>
      </c>
      <c r="G125" s="139">
        <f>G126</f>
        <v>-97.7</v>
      </c>
      <c r="H125" s="139">
        <f>H126</f>
        <v>31779.8</v>
      </c>
      <c r="I125" s="139">
        <f>I126</f>
        <v>31736.600000000002</v>
      </c>
      <c r="J125" s="139"/>
      <c r="K125" s="139">
        <f>K126</f>
        <v>31736.600000000002</v>
      </c>
      <c r="L125" s="139">
        <f>L126</f>
        <v>31840.800000000003</v>
      </c>
      <c r="M125" s="139"/>
      <c r="N125" s="139">
        <f>N126</f>
        <v>31840.800000000003</v>
      </c>
      <c r="P125" s="45"/>
    </row>
    <row r="126" spans="1:16" ht="26.25" x14ac:dyDescent="0.25">
      <c r="A126" s="36" t="s">
        <v>124</v>
      </c>
      <c r="B126" s="39"/>
      <c r="C126" s="37" t="s">
        <v>125</v>
      </c>
      <c r="D126" s="131">
        <f>D127+D129+D131+D133+D135+D137+D139</f>
        <v>31640.799999999999</v>
      </c>
      <c r="E126" s="131"/>
      <c r="F126" s="131">
        <f>F127+F129+F131+F133+F135+F137+F139</f>
        <v>31877.5</v>
      </c>
      <c r="G126" s="131">
        <f>G127+G129+G131+G133+G135+G137+G139</f>
        <v>-97.7</v>
      </c>
      <c r="H126" s="131">
        <f>H127+H129+H131+H133+H135+H137+H139</f>
        <v>31779.8</v>
      </c>
      <c r="I126" s="131">
        <f>I127+I129+I131+I133+I135+I137+I139</f>
        <v>31736.600000000002</v>
      </c>
      <c r="J126" s="131"/>
      <c r="K126" s="131">
        <f>K127+K129+K131+K133+K135+K137+K139</f>
        <v>31736.600000000002</v>
      </c>
      <c r="L126" s="131">
        <f>L127+L129+L131+L133+L135+L137+L139</f>
        <v>31840.800000000003</v>
      </c>
      <c r="M126" s="131"/>
      <c r="N126" s="131">
        <f>N127+N129+N131+N133+N135+N137+N139</f>
        <v>31840.800000000003</v>
      </c>
    </row>
    <row r="127" spans="1:16" ht="26.25" x14ac:dyDescent="0.25">
      <c r="A127" s="7" t="s">
        <v>126</v>
      </c>
      <c r="B127" s="13"/>
      <c r="C127" s="3" t="s">
        <v>551</v>
      </c>
      <c r="D127" s="130">
        <f>19664.1-55.8</f>
        <v>19608.3</v>
      </c>
      <c r="E127" s="130"/>
      <c r="F127" s="130">
        <f>F128</f>
        <v>19606.400000000001</v>
      </c>
      <c r="G127" s="130">
        <f>G128</f>
        <v>-97.7</v>
      </c>
      <c r="H127" s="130">
        <f>H128</f>
        <v>19508.7</v>
      </c>
      <c r="I127" s="130">
        <f>19751.9-99.2</f>
        <v>19652.7</v>
      </c>
      <c r="J127" s="130"/>
      <c r="K127" s="130">
        <f>19751.9-99.2</f>
        <v>19652.7</v>
      </c>
      <c r="L127" s="130">
        <f>19847.6-128.1</f>
        <v>19719.5</v>
      </c>
      <c r="M127" s="130"/>
      <c r="N127" s="130">
        <f>19847.6-128.1</f>
        <v>19719.5</v>
      </c>
    </row>
    <row r="128" spans="1:16" ht="26.25" x14ac:dyDescent="0.25">
      <c r="A128" s="7"/>
      <c r="B128" s="7" t="s">
        <v>608</v>
      </c>
      <c r="C128" s="3" t="s">
        <v>609</v>
      </c>
      <c r="D128" s="130">
        <f>19664.1-55.8</f>
        <v>19608.3</v>
      </c>
      <c r="E128" s="130"/>
      <c r="F128" s="130">
        <v>19606.400000000001</v>
      </c>
      <c r="G128" s="146">
        <v>-97.7</v>
      </c>
      <c r="H128" s="130">
        <f>F128+G128</f>
        <v>19508.7</v>
      </c>
      <c r="I128" s="130">
        <f>19751.9-99.2</f>
        <v>19652.7</v>
      </c>
      <c r="J128" s="130"/>
      <c r="K128" s="130">
        <f>19751.9-99.2</f>
        <v>19652.7</v>
      </c>
      <c r="L128" s="130">
        <f>19847.6-128.1</f>
        <v>19719.5</v>
      </c>
      <c r="M128" s="130"/>
      <c r="N128" s="130">
        <f>19847.6-128.1</f>
        <v>19719.5</v>
      </c>
    </row>
    <row r="129" spans="1:16" ht="26.25" x14ac:dyDescent="0.25">
      <c r="A129" s="7" t="s">
        <v>127</v>
      </c>
      <c r="B129" s="13"/>
      <c r="C129" s="3" t="s">
        <v>128</v>
      </c>
      <c r="D129" s="130">
        <f>11630.2-286</f>
        <v>11344.2</v>
      </c>
      <c r="E129" s="130"/>
      <c r="F129" s="130">
        <f>F130</f>
        <v>11582.8</v>
      </c>
      <c r="G129" s="130"/>
      <c r="H129" s="130">
        <f>H130</f>
        <v>11582.8</v>
      </c>
      <c r="I129" s="130">
        <f>11742-359</f>
        <v>11383</v>
      </c>
      <c r="J129" s="130"/>
      <c r="K129" s="130">
        <f>11742-359</f>
        <v>11383</v>
      </c>
      <c r="L129" s="130">
        <f>11858.6-453.6</f>
        <v>11405</v>
      </c>
      <c r="M129" s="130"/>
      <c r="N129" s="130">
        <f>11858.6-453.6</f>
        <v>11405</v>
      </c>
    </row>
    <row r="130" spans="1:16" ht="26.25" x14ac:dyDescent="0.25">
      <c r="A130" s="7"/>
      <c r="B130" s="7" t="s">
        <v>608</v>
      </c>
      <c r="C130" s="3" t="s">
        <v>609</v>
      </c>
      <c r="D130" s="130">
        <f>11630.2-286</f>
        <v>11344.2</v>
      </c>
      <c r="E130" s="130"/>
      <c r="F130" s="130">
        <v>11582.8</v>
      </c>
      <c r="G130" s="146"/>
      <c r="H130" s="130">
        <f>SUM(F130:G130)</f>
        <v>11582.8</v>
      </c>
      <c r="I130" s="130">
        <f>11742-359</f>
        <v>11383</v>
      </c>
      <c r="J130" s="130"/>
      <c r="K130" s="130">
        <f>11742-359</f>
        <v>11383</v>
      </c>
      <c r="L130" s="130">
        <f>11858.6-453.6</f>
        <v>11405</v>
      </c>
      <c r="M130" s="130"/>
      <c r="N130" s="130">
        <f>11858.6-453.6</f>
        <v>11405</v>
      </c>
    </row>
    <row r="131" spans="1:16" x14ac:dyDescent="0.25">
      <c r="A131" s="7" t="s">
        <v>129</v>
      </c>
      <c r="B131" s="7"/>
      <c r="C131" s="3" t="s">
        <v>130</v>
      </c>
      <c r="D131" s="130">
        <v>274.2</v>
      </c>
      <c r="E131" s="130"/>
      <c r="F131" s="130">
        <v>274.2</v>
      </c>
      <c r="G131" s="130"/>
      <c r="H131" s="130">
        <v>274.2</v>
      </c>
      <c r="I131" s="130">
        <v>278.2</v>
      </c>
      <c r="J131" s="130"/>
      <c r="K131" s="130">
        <v>278.2</v>
      </c>
      <c r="L131" s="130">
        <v>282.39999999999998</v>
      </c>
      <c r="M131" s="130"/>
      <c r="N131" s="130">
        <v>282.39999999999998</v>
      </c>
    </row>
    <row r="132" spans="1:16" ht="26.25" x14ac:dyDescent="0.25">
      <c r="A132" s="7"/>
      <c r="B132" s="7" t="s">
        <v>608</v>
      </c>
      <c r="C132" s="3" t="s">
        <v>609</v>
      </c>
      <c r="D132" s="130">
        <v>274.2</v>
      </c>
      <c r="E132" s="130"/>
      <c r="F132" s="130">
        <v>274.2</v>
      </c>
      <c r="G132" s="130"/>
      <c r="H132" s="130">
        <v>274.2</v>
      </c>
      <c r="I132" s="130">
        <v>278.2</v>
      </c>
      <c r="J132" s="130"/>
      <c r="K132" s="130">
        <v>278.2</v>
      </c>
      <c r="L132" s="130">
        <v>282.39999999999998</v>
      </c>
      <c r="M132" s="130"/>
      <c r="N132" s="130">
        <v>282.39999999999998</v>
      </c>
    </row>
    <row r="133" spans="1:16" x14ac:dyDescent="0.25">
      <c r="A133" s="7" t="s">
        <v>131</v>
      </c>
      <c r="B133" s="7"/>
      <c r="C133" s="3" t="s">
        <v>132</v>
      </c>
      <c r="D133" s="130">
        <v>100.1</v>
      </c>
      <c r="E133" s="130"/>
      <c r="F133" s="130">
        <v>100.1</v>
      </c>
      <c r="G133" s="130"/>
      <c r="H133" s="130">
        <v>100.1</v>
      </c>
      <c r="I133" s="130">
        <v>100.7</v>
      </c>
      <c r="J133" s="130"/>
      <c r="K133" s="130">
        <v>100.7</v>
      </c>
      <c r="L133" s="130">
        <v>101.4</v>
      </c>
      <c r="M133" s="130"/>
      <c r="N133" s="130">
        <v>101.4</v>
      </c>
    </row>
    <row r="134" spans="1:16" ht="26.25" x14ac:dyDescent="0.25">
      <c r="A134" s="7"/>
      <c r="B134" s="7" t="s">
        <v>608</v>
      </c>
      <c r="C134" s="3" t="s">
        <v>609</v>
      </c>
      <c r="D134" s="130">
        <v>100.1</v>
      </c>
      <c r="E134" s="130"/>
      <c r="F134" s="130">
        <v>100.1</v>
      </c>
      <c r="G134" s="130"/>
      <c r="H134" s="130">
        <v>100.1</v>
      </c>
      <c r="I134" s="130">
        <v>100.7</v>
      </c>
      <c r="J134" s="130"/>
      <c r="K134" s="130">
        <v>100.7</v>
      </c>
      <c r="L134" s="130">
        <v>101.4</v>
      </c>
      <c r="M134" s="130"/>
      <c r="N134" s="130">
        <v>101.4</v>
      </c>
    </row>
    <row r="135" spans="1:16" ht="26.25" x14ac:dyDescent="0.25">
      <c r="A135" s="7" t="s">
        <v>133</v>
      </c>
      <c r="B135" s="7"/>
      <c r="C135" s="3" t="s">
        <v>134</v>
      </c>
      <c r="D135" s="130">
        <v>74.599999999999994</v>
      </c>
      <c r="E135" s="130"/>
      <c r="F135" s="130">
        <v>74.599999999999994</v>
      </c>
      <c r="G135" s="130"/>
      <c r="H135" s="130">
        <v>74.599999999999994</v>
      </c>
      <c r="I135" s="130">
        <v>76.8</v>
      </c>
      <c r="J135" s="130"/>
      <c r="K135" s="130">
        <v>76.8</v>
      </c>
      <c r="L135" s="130">
        <v>81.2</v>
      </c>
      <c r="M135" s="130"/>
      <c r="N135" s="130">
        <v>81.2</v>
      </c>
    </row>
    <row r="136" spans="1:16" ht="26.25" x14ac:dyDescent="0.25">
      <c r="A136" s="7"/>
      <c r="B136" s="7" t="s">
        <v>608</v>
      </c>
      <c r="C136" s="3" t="s">
        <v>609</v>
      </c>
      <c r="D136" s="130">
        <v>74.599999999999994</v>
      </c>
      <c r="E136" s="130"/>
      <c r="F136" s="130">
        <v>74.599999999999994</v>
      </c>
      <c r="G136" s="130"/>
      <c r="H136" s="130">
        <v>74.599999999999994</v>
      </c>
      <c r="I136" s="130">
        <v>76.8</v>
      </c>
      <c r="J136" s="130"/>
      <c r="K136" s="130">
        <v>76.8</v>
      </c>
      <c r="L136" s="130">
        <v>81.2</v>
      </c>
      <c r="M136" s="130"/>
      <c r="N136" s="130">
        <v>81.2</v>
      </c>
    </row>
    <row r="137" spans="1:16" ht="39" x14ac:dyDescent="0.25">
      <c r="A137" s="7" t="s">
        <v>135</v>
      </c>
      <c r="B137" s="7"/>
      <c r="C137" s="3" t="s">
        <v>136</v>
      </c>
      <c r="D137" s="130">
        <v>83.7</v>
      </c>
      <c r="E137" s="130"/>
      <c r="F137" s="130">
        <v>83.7</v>
      </c>
      <c r="G137" s="130"/>
      <c r="H137" s="130">
        <v>83.7</v>
      </c>
      <c r="I137" s="130">
        <v>85.4</v>
      </c>
      <c r="J137" s="130"/>
      <c r="K137" s="130">
        <v>85.4</v>
      </c>
      <c r="L137" s="130">
        <v>87.3</v>
      </c>
      <c r="M137" s="130"/>
      <c r="N137" s="130">
        <v>87.3</v>
      </c>
    </row>
    <row r="138" spans="1:16" ht="26.25" x14ac:dyDescent="0.25">
      <c r="A138" s="7"/>
      <c r="B138" s="7" t="s">
        <v>608</v>
      </c>
      <c r="C138" s="3" t="s">
        <v>609</v>
      </c>
      <c r="D138" s="130">
        <v>83.7</v>
      </c>
      <c r="E138" s="130"/>
      <c r="F138" s="130">
        <v>83.7</v>
      </c>
      <c r="G138" s="130"/>
      <c r="H138" s="130">
        <v>83.7</v>
      </c>
      <c r="I138" s="130">
        <v>85.4</v>
      </c>
      <c r="J138" s="130"/>
      <c r="K138" s="130">
        <v>85.4</v>
      </c>
      <c r="L138" s="130">
        <v>87.3</v>
      </c>
      <c r="M138" s="130"/>
      <c r="N138" s="130">
        <v>87.3</v>
      </c>
    </row>
    <row r="139" spans="1:16" ht="26.25" x14ac:dyDescent="0.25">
      <c r="A139" s="7" t="s">
        <v>552</v>
      </c>
      <c r="B139" s="7"/>
      <c r="C139" s="3" t="s">
        <v>137</v>
      </c>
      <c r="D139" s="130">
        <v>155.69999999999999</v>
      </c>
      <c r="E139" s="130"/>
      <c r="F139" s="130">
        <v>155.69999999999999</v>
      </c>
      <c r="G139" s="130"/>
      <c r="H139" s="130">
        <v>155.69999999999999</v>
      </c>
      <c r="I139" s="130">
        <v>159.80000000000001</v>
      </c>
      <c r="J139" s="130"/>
      <c r="K139" s="130">
        <v>159.80000000000001</v>
      </c>
      <c r="L139" s="130">
        <v>164</v>
      </c>
      <c r="M139" s="130"/>
      <c r="N139" s="130">
        <v>164</v>
      </c>
    </row>
    <row r="140" spans="1:16" ht="26.25" x14ac:dyDescent="0.25">
      <c r="A140" s="7"/>
      <c r="B140" s="7" t="s">
        <v>608</v>
      </c>
      <c r="C140" s="3" t="s">
        <v>609</v>
      </c>
      <c r="D140" s="130">
        <v>155.69999999999999</v>
      </c>
      <c r="E140" s="130"/>
      <c r="F140" s="130">
        <v>155.69999999999999</v>
      </c>
      <c r="G140" s="130"/>
      <c r="H140" s="130">
        <v>155.69999999999999</v>
      </c>
      <c r="I140" s="130">
        <v>159.80000000000001</v>
      </c>
      <c r="J140" s="130"/>
      <c r="K140" s="130">
        <v>159.80000000000001</v>
      </c>
      <c r="L140" s="130">
        <v>164</v>
      </c>
      <c r="M140" s="130"/>
      <c r="N140" s="130">
        <v>164</v>
      </c>
    </row>
    <row r="141" spans="1:16" ht="26.25" x14ac:dyDescent="0.25">
      <c r="A141" s="34" t="s">
        <v>138</v>
      </c>
      <c r="B141" s="34"/>
      <c r="C141" s="35" t="s">
        <v>139</v>
      </c>
      <c r="D141" s="139">
        <f>D142</f>
        <v>6145.7999999999993</v>
      </c>
      <c r="E141" s="139"/>
      <c r="F141" s="139">
        <f>F142</f>
        <v>6080.5812199999991</v>
      </c>
      <c r="G141" s="139">
        <f>G142</f>
        <v>0</v>
      </c>
      <c r="H141" s="139">
        <f>H142</f>
        <v>6080.5812199999991</v>
      </c>
      <c r="I141" s="139">
        <f>I142</f>
        <v>6458.0999999999995</v>
      </c>
      <c r="J141" s="139"/>
      <c r="K141" s="139">
        <f>K142</f>
        <v>6458.0999999999995</v>
      </c>
      <c r="L141" s="139">
        <f>L142</f>
        <v>6894.9</v>
      </c>
      <c r="M141" s="139"/>
      <c r="N141" s="139">
        <f>N142</f>
        <v>6894.9</v>
      </c>
      <c r="P141" s="45"/>
    </row>
    <row r="142" spans="1:16" ht="26.25" x14ac:dyDescent="0.25">
      <c r="A142" s="36" t="s">
        <v>140</v>
      </c>
      <c r="B142" s="36"/>
      <c r="C142" s="37" t="s">
        <v>141</v>
      </c>
      <c r="D142" s="131">
        <f>D147+D143+D145</f>
        <v>6145.7999999999993</v>
      </c>
      <c r="E142" s="131"/>
      <c r="F142" s="131">
        <f>F147+F143+F145</f>
        <v>6080.5812199999991</v>
      </c>
      <c r="G142" s="131">
        <f>G147+G143+G145</f>
        <v>0</v>
      </c>
      <c r="H142" s="131">
        <f>H147+H143+H145</f>
        <v>6080.5812199999991</v>
      </c>
      <c r="I142" s="131">
        <f>I147+I143+I145</f>
        <v>6458.0999999999995</v>
      </c>
      <c r="J142" s="131"/>
      <c r="K142" s="131">
        <f>K147+K143+K145</f>
        <v>6458.0999999999995</v>
      </c>
      <c r="L142" s="131">
        <f>L147+L143+L145</f>
        <v>6894.9</v>
      </c>
      <c r="M142" s="131"/>
      <c r="N142" s="131">
        <f>N147+N143+N145</f>
        <v>6894.9</v>
      </c>
    </row>
    <row r="143" spans="1:16" ht="26.25" x14ac:dyDescent="0.25">
      <c r="A143" s="7" t="s">
        <v>142</v>
      </c>
      <c r="B143" s="7"/>
      <c r="C143" s="3" t="s">
        <v>143</v>
      </c>
      <c r="D143" s="130">
        <v>105.7</v>
      </c>
      <c r="E143" s="130"/>
      <c r="F143" s="130">
        <f>F144</f>
        <v>40.481220000000008</v>
      </c>
      <c r="G143" s="130">
        <f>G144</f>
        <v>0</v>
      </c>
      <c r="H143" s="130">
        <f>H144</f>
        <v>40.481220000000008</v>
      </c>
      <c r="I143" s="130">
        <v>109.9</v>
      </c>
      <c r="J143" s="130"/>
      <c r="K143" s="130">
        <v>109.9</v>
      </c>
      <c r="L143" s="130">
        <v>114.3</v>
      </c>
      <c r="M143" s="130"/>
      <c r="N143" s="130">
        <v>114.3</v>
      </c>
    </row>
    <row r="144" spans="1:16" ht="26.25" x14ac:dyDescent="0.25">
      <c r="A144" s="7"/>
      <c r="B144" s="7" t="s">
        <v>608</v>
      </c>
      <c r="C144" s="3" t="s">
        <v>609</v>
      </c>
      <c r="D144" s="130">
        <v>105.7</v>
      </c>
      <c r="E144" s="130"/>
      <c r="F144" s="130">
        <v>40.481220000000008</v>
      </c>
      <c r="G144" s="130"/>
      <c r="H144" s="130">
        <f>105.7-65.21878</f>
        <v>40.481220000000008</v>
      </c>
      <c r="I144" s="130">
        <v>109.9</v>
      </c>
      <c r="J144" s="130"/>
      <c r="K144" s="130">
        <v>109.9</v>
      </c>
      <c r="L144" s="130">
        <v>114.3</v>
      </c>
      <c r="M144" s="130"/>
      <c r="N144" s="130">
        <v>114.3</v>
      </c>
    </row>
    <row r="145" spans="1:16" ht="26.25" x14ac:dyDescent="0.25">
      <c r="A145" s="7" t="s">
        <v>144</v>
      </c>
      <c r="B145" s="7"/>
      <c r="C145" s="3" t="s">
        <v>145</v>
      </c>
      <c r="D145" s="130">
        <f>D146</f>
        <v>1619.7</v>
      </c>
      <c r="E145" s="130"/>
      <c r="F145" s="130">
        <f>F146</f>
        <v>1619.7</v>
      </c>
      <c r="G145" s="130"/>
      <c r="H145" s="130">
        <f>H146</f>
        <v>1619.7</v>
      </c>
      <c r="I145" s="130">
        <f>I146</f>
        <v>1684.5000000000002</v>
      </c>
      <c r="J145" s="130"/>
      <c r="K145" s="130">
        <f>K146</f>
        <v>1684.5000000000002</v>
      </c>
      <c r="L145" s="130">
        <f>L146</f>
        <v>1751.8999999999999</v>
      </c>
      <c r="M145" s="130"/>
      <c r="N145" s="130">
        <f>N146</f>
        <v>1751.8999999999999</v>
      </c>
    </row>
    <row r="146" spans="1:16" ht="26.25" x14ac:dyDescent="0.25">
      <c r="A146" s="7"/>
      <c r="B146" s="7" t="s">
        <v>608</v>
      </c>
      <c r="C146" s="3" t="s">
        <v>609</v>
      </c>
      <c r="D146" s="146">
        <v>1619.7</v>
      </c>
      <c r="E146" s="146"/>
      <c r="F146" s="146">
        <v>1619.7</v>
      </c>
      <c r="G146" s="146"/>
      <c r="H146" s="146">
        <v>1619.7</v>
      </c>
      <c r="I146" s="146">
        <f>2019.4-216.8-118.1</f>
        <v>1684.5000000000002</v>
      </c>
      <c r="J146" s="146"/>
      <c r="K146" s="146">
        <f>2019.4-216.8-118.1</f>
        <v>1684.5000000000002</v>
      </c>
      <c r="L146" s="146">
        <f>2100.1-225.5-122.7</f>
        <v>1751.8999999999999</v>
      </c>
      <c r="M146" s="146"/>
      <c r="N146" s="146">
        <f>2100.1-225.5-122.7</f>
        <v>1751.8999999999999</v>
      </c>
    </row>
    <row r="147" spans="1:16" ht="39" x14ac:dyDescent="0.25">
      <c r="A147" s="7" t="s">
        <v>146</v>
      </c>
      <c r="B147" s="7"/>
      <c r="C147" s="3" t="s">
        <v>147</v>
      </c>
      <c r="D147" s="130">
        <v>4420.3999999999996</v>
      </c>
      <c r="E147" s="130"/>
      <c r="F147" s="130">
        <v>4420.3999999999996</v>
      </c>
      <c r="G147" s="130"/>
      <c r="H147" s="130">
        <v>4420.3999999999996</v>
      </c>
      <c r="I147" s="130">
        <v>4663.7</v>
      </c>
      <c r="J147" s="130"/>
      <c r="K147" s="130">
        <v>4663.7</v>
      </c>
      <c r="L147" s="130">
        <v>5028.7</v>
      </c>
      <c r="M147" s="130"/>
      <c r="N147" s="130">
        <v>5028.7</v>
      </c>
    </row>
    <row r="148" spans="1:16" x14ac:dyDescent="0.25">
      <c r="A148" s="7"/>
      <c r="B148" s="7" t="s">
        <v>534</v>
      </c>
      <c r="C148" s="3" t="s">
        <v>535</v>
      </c>
      <c r="D148" s="130">
        <v>73</v>
      </c>
      <c r="E148" s="130"/>
      <c r="F148" s="130">
        <v>73</v>
      </c>
      <c r="G148" s="130"/>
      <c r="H148" s="130">
        <v>73</v>
      </c>
      <c r="I148" s="130">
        <v>73</v>
      </c>
      <c r="J148" s="130"/>
      <c r="K148" s="130">
        <v>73</v>
      </c>
      <c r="L148" s="130">
        <v>73</v>
      </c>
      <c r="M148" s="130"/>
      <c r="N148" s="130">
        <v>73</v>
      </c>
    </row>
    <row r="149" spans="1:16" ht="26.25" x14ac:dyDescent="0.25">
      <c r="A149" s="7"/>
      <c r="B149" s="7" t="s">
        <v>608</v>
      </c>
      <c r="C149" s="3" t="s">
        <v>609</v>
      </c>
      <c r="D149" s="130">
        <v>4269.5999999999995</v>
      </c>
      <c r="E149" s="130"/>
      <c r="F149" s="130">
        <v>4269.5999999999995</v>
      </c>
      <c r="G149" s="130"/>
      <c r="H149" s="130">
        <v>4269.5999999999995</v>
      </c>
      <c r="I149" s="130">
        <v>4512.8999999999996</v>
      </c>
      <c r="J149" s="130"/>
      <c r="K149" s="130">
        <v>4512.8999999999996</v>
      </c>
      <c r="L149" s="130">
        <v>4877.8999999999996</v>
      </c>
      <c r="M149" s="130"/>
      <c r="N149" s="130">
        <v>4877.8999999999996</v>
      </c>
    </row>
    <row r="150" spans="1:16" x14ac:dyDescent="0.25">
      <c r="A150" s="7"/>
      <c r="B150" s="7" t="s">
        <v>513</v>
      </c>
      <c r="C150" s="3" t="s">
        <v>514</v>
      </c>
      <c r="D150" s="130">
        <v>77.8</v>
      </c>
      <c r="E150" s="130"/>
      <c r="F150" s="130">
        <v>77.8</v>
      </c>
      <c r="G150" s="130"/>
      <c r="H150" s="130">
        <v>77.8</v>
      </c>
      <c r="I150" s="130">
        <v>77.8</v>
      </c>
      <c r="J150" s="130"/>
      <c r="K150" s="130">
        <v>77.8</v>
      </c>
      <c r="L150" s="130">
        <v>77.8</v>
      </c>
      <c r="M150" s="130"/>
      <c r="N150" s="130">
        <v>77.8</v>
      </c>
    </row>
    <row r="151" spans="1:16" x14ac:dyDescent="0.25">
      <c r="A151" s="34" t="s">
        <v>148</v>
      </c>
      <c r="B151" s="34"/>
      <c r="C151" s="35" t="s">
        <v>149</v>
      </c>
      <c r="D151" s="139">
        <f>D152+D157</f>
        <v>18593.8</v>
      </c>
      <c r="E151" s="139"/>
      <c r="F151" s="139">
        <f>F152+F157</f>
        <v>18593.8</v>
      </c>
      <c r="G151" s="139">
        <f>G152+G157</f>
        <v>-247.19033000000002</v>
      </c>
      <c r="H151" s="139">
        <f>H152+H157</f>
        <v>18346.609670000002</v>
      </c>
      <c r="I151" s="139">
        <f>I152+I157</f>
        <v>18241.600000000002</v>
      </c>
      <c r="J151" s="139"/>
      <c r="K151" s="139">
        <f>K152+K157</f>
        <v>18241.600000000002</v>
      </c>
      <c r="L151" s="139">
        <f>L152+L157</f>
        <v>18242.8</v>
      </c>
      <c r="M151" s="139"/>
      <c r="N151" s="139">
        <f>N152+N157</f>
        <v>18242.8</v>
      </c>
      <c r="P151" s="45"/>
    </row>
    <row r="152" spans="1:16" ht="26.25" x14ac:dyDescent="0.25">
      <c r="A152" s="36" t="s">
        <v>150</v>
      </c>
      <c r="B152" s="36"/>
      <c r="C152" s="37" t="s">
        <v>151</v>
      </c>
      <c r="D152" s="131">
        <f>D155+D153</f>
        <v>240</v>
      </c>
      <c r="E152" s="131"/>
      <c r="F152" s="131">
        <f>F155+F153</f>
        <v>240</v>
      </c>
      <c r="G152" s="131"/>
      <c r="H152" s="131">
        <f>H155+H153</f>
        <v>240</v>
      </c>
      <c r="I152" s="131">
        <f>I155+I153</f>
        <v>245.2</v>
      </c>
      <c r="J152" s="131"/>
      <c r="K152" s="131">
        <f>K155+K153</f>
        <v>245.2</v>
      </c>
      <c r="L152" s="131">
        <f>L155+L153</f>
        <v>250.5</v>
      </c>
      <c r="M152" s="131"/>
      <c r="N152" s="131">
        <f>N155+N153</f>
        <v>250.5</v>
      </c>
    </row>
    <row r="153" spans="1:16" x14ac:dyDescent="0.25">
      <c r="A153" s="46" t="s">
        <v>152</v>
      </c>
      <c r="B153" s="46"/>
      <c r="C153" s="47" t="s">
        <v>153</v>
      </c>
      <c r="D153" s="130">
        <v>133.69999999999999</v>
      </c>
      <c r="E153" s="130"/>
      <c r="F153" s="130">
        <v>133.69999999999999</v>
      </c>
      <c r="G153" s="130"/>
      <c r="H153" s="130">
        <v>133.69999999999999</v>
      </c>
      <c r="I153" s="130">
        <v>134.6</v>
      </c>
      <c r="J153" s="130"/>
      <c r="K153" s="130">
        <v>134.6</v>
      </c>
      <c r="L153" s="130">
        <v>135.5</v>
      </c>
      <c r="M153" s="130"/>
      <c r="N153" s="130">
        <v>135.5</v>
      </c>
    </row>
    <row r="154" spans="1:16" ht="26.25" x14ac:dyDescent="0.25">
      <c r="A154" s="46"/>
      <c r="B154" s="46" t="s">
        <v>608</v>
      </c>
      <c r="C154" s="47" t="s">
        <v>609</v>
      </c>
      <c r="D154" s="130">
        <v>133.69999999999999</v>
      </c>
      <c r="E154" s="130"/>
      <c r="F154" s="130">
        <v>133.69999999999999</v>
      </c>
      <c r="G154" s="130"/>
      <c r="H154" s="130">
        <v>133.69999999999999</v>
      </c>
      <c r="I154" s="130">
        <v>134.6</v>
      </c>
      <c r="J154" s="130"/>
      <c r="K154" s="130">
        <v>134.6</v>
      </c>
      <c r="L154" s="130">
        <v>135.5</v>
      </c>
      <c r="M154" s="130"/>
      <c r="N154" s="130">
        <v>135.5</v>
      </c>
    </row>
    <row r="155" spans="1:16" ht="26.25" x14ac:dyDescent="0.25">
      <c r="A155" s="7" t="s">
        <v>154</v>
      </c>
      <c r="B155" s="7"/>
      <c r="C155" s="3" t="s">
        <v>155</v>
      </c>
      <c r="D155" s="130">
        <v>106.3</v>
      </c>
      <c r="E155" s="130"/>
      <c r="F155" s="130">
        <v>106.3</v>
      </c>
      <c r="G155" s="130"/>
      <c r="H155" s="130">
        <v>106.3</v>
      </c>
      <c r="I155" s="130">
        <v>110.6</v>
      </c>
      <c r="J155" s="130"/>
      <c r="K155" s="130">
        <v>110.6</v>
      </c>
      <c r="L155" s="130">
        <v>115</v>
      </c>
      <c r="M155" s="130"/>
      <c r="N155" s="130">
        <v>115</v>
      </c>
    </row>
    <row r="156" spans="1:16" ht="26.25" x14ac:dyDescent="0.25">
      <c r="A156" s="7"/>
      <c r="B156" s="46" t="s">
        <v>608</v>
      </c>
      <c r="C156" s="47" t="s">
        <v>609</v>
      </c>
      <c r="D156" s="130">
        <v>106.3</v>
      </c>
      <c r="E156" s="130"/>
      <c r="F156" s="130">
        <v>106.3</v>
      </c>
      <c r="G156" s="130"/>
      <c r="H156" s="130">
        <v>106.3</v>
      </c>
      <c r="I156" s="130">
        <v>110.6</v>
      </c>
      <c r="J156" s="130"/>
      <c r="K156" s="130">
        <v>110.6</v>
      </c>
      <c r="L156" s="130">
        <v>115</v>
      </c>
      <c r="M156" s="130"/>
      <c r="N156" s="130">
        <v>115</v>
      </c>
    </row>
    <row r="157" spans="1:16" ht="26.25" x14ac:dyDescent="0.25">
      <c r="A157" s="36" t="s">
        <v>156</v>
      </c>
      <c r="B157" s="36"/>
      <c r="C157" s="37" t="s">
        <v>157</v>
      </c>
      <c r="D157" s="131">
        <f>D158+D161+D164</f>
        <v>18353.8</v>
      </c>
      <c r="E157" s="131"/>
      <c r="F157" s="131">
        <f>F158+F161+F164</f>
        <v>18353.8</v>
      </c>
      <c r="G157" s="131">
        <f>G158+G161+G164</f>
        <v>-247.19033000000002</v>
      </c>
      <c r="H157" s="131">
        <f>H158+H161+H164</f>
        <v>18106.609670000002</v>
      </c>
      <c r="I157" s="131">
        <f>I158+I161+I164</f>
        <v>17996.400000000001</v>
      </c>
      <c r="J157" s="131"/>
      <c r="K157" s="131">
        <f>K158+K161+K164</f>
        <v>17996.400000000001</v>
      </c>
      <c r="L157" s="131">
        <f>L158+L161+L164</f>
        <v>17992.3</v>
      </c>
      <c r="M157" s="131"/>
      <c r="N157" s="131">
        <f>N158+N161+N164</f>
        <v>17992.3</v>
      </c>
    </row>
    <row r="158" spans="1:16" ht="26.25" x14ac:dyDescent="0.25">
      <c r="A158" s="7" t="s">
        <v>158</v>
      </c>
      <c r="B158" s="7"/>
      <c r="C158" s="3" t="s">
        <v>159</v>
      </c>
      <c r="D158" s="130">
        <v>6519.7</v>
      </c>
      <c r="E158" s="130"/>
      <c r="F158" s="130">
        <v>6519.7</v>
      </c>
      <c r="G158" s="130">
        <f>G160</f>
        <v>-72.790329999999997</v>
      </c>
      <c r="H158" s="130">
        <f>SUM(H159:H160)</f>
        <v>6446.90967</v>
      </c>
      <c r="I158" s="130">
        <v>6366.8</v>
      </c>
      <c r="J158" s="130"/>
      <c r="K158" s="130">
        <v>6366.8</v>
      </c>
      <c r="L158" s="130">
        <v>6362.7</v>
      </c>
      <c r="M158" s="130"/>
      <c r="N158" s="130">
        <v>6362.7</v>
      </c>
    </row>
    <row r="159" spans="1:16" x14ac:dyDescent="0.25">
      <c r="A159" s="7"/>
      <c r="B159" s="7" t="s">
        <v>534</v>
      </c>
      <c r="C159" s="3" t="s">
        <v>535</v>
      </c>
      <c r="D159" s="130">
        <v>596.79999999999995</v>
      </c>
      <c r="E159" s="130"/>
      <c r="F159" s="130">
        <v>596.79999999999995</v>
      </c>
      <c r="G159" s="130"/>
      <c r="H159" s="130">
        <v>596.79999999999995</v>
      </c>
      <c r="I159" s="130">
        <v>469.9</v>
      </c>
      <c r="J159" s="130"/>
      <c r="K159" s="130">
        <v>469.9</v>
      </c>
      <c r="L159" s="130">
        <v>393.8</v>
      </c>
      <c r="M159" s="130"/>
      <c r="N159" s="130">
        <v>393.8</v>
      </c>
    </row>
    <row r="160" spans="1:16" ht="26.25" x14ac:dyDescent="0.25">
      <c r="A160" s="7"/>
      <c r="B160" s="46" t="s">
        <v>608</v>
      </c>
      <c r="C160" s="47" t="s">
        <v>609</v>
      </c>
      <c r="D160" s="130">
        <v>5922.9</v>
      </c>
      <c r="E160" s="130"/>
      <c r="F160" s="130">
        <v>5922.9</v>
      </c>
      <c r="G160" s="130">
        <v>-72.790329999999997</v>
      </c>
      <c r="H160" s="130">
        <f>SUM(F160:G160)</f>
        <v>5850.1096699999998</v>
      </c>
      <c r="I160" s="130">
        <f>6366.8-469.9</f>
        <v>5896.9000000000005</v>
      </c>
      <c r="J160" s="130"/>
      <c r="K160" s="130">
        <f>6366.8-469.9</f>
        <v>5896.9000000000005</v>
      </c>
      <c r="L160" s="130">
        <f>6362.7-393.8</f>
        <v>5968.9</v>
      </c>
      <c r="M160" s="130"/>
      <c r="N160" s="130">
        <f>6362.7-393.8</f>
        <v>5968.9</v>
      </c>
    </row>
    <row r="161" spans="1:16" ht="51.75" x14ac:dyDescent="0.25">
      <c r="A161" s="7" t="s">
        <v>160</v>
      </c>
      <c r="B161" s="7"/>
      <c r="C161" s="3" t="s">
        <v>161</v>
      </c>
      <c r="D161" s="130">
        <v>11629.6</v>
      </c>
      <c r="E161" s="130"/>
      <c r="F161" s="130">
        <v>11629.6</v>
      </c>
      <c r="G161" s="130">
        <f>SUM(G162:G163)</f>
        <v>-174.4</v>
      </c>
      <c r="H161" s="130">
        <f>SUM(H163+H162)</f>
        <v>11455.2</v>
      </c>
      <c r="I161" s="130">
        <v>11629.6</v>
      </c>
      <c r="J161" s="130"/>
      <c r="K161" s="130">
        <v>11629.6</v>
      </c>
      <c r="L161" s="130">
        <v>11629.6</v>
      </c>
      <c r="M161" s="130"/>
      <c r="N161" s="130">
        <v>11629.6</v>
      </c>
    </row>
    <row r="162" spans="1:16" x14ac:dyDescent="0.25">
      <c r="A162" s="7"/>
      <c r="B162" s="7" t="s">
        <v>534</v>
      </c>
      <c r="C162" s="3" t="s">
        <v>535</v>
      </c>
      <c r="D162" s="130">
        <v>5118.6880000000001</v>
      </c>
      <c r="E162" s="130"/>
      <c r="F162" s="130">
        <v>5118.6880000000001</v>
      </c>
      <c r="G162" s="130"/>
      <c r="H162" s="130">
        <f>SUM(F162:G162)</f>
        <v>5118.6880000000001</v>
      </c>
      <c r="I162" s="130">
        <v>4841.8999999999996</v>
      </c>
      <c r="J162" s="130"/>
      <c r="K162" s="130">
        <v>4841.8999999999996</v>
      </c>
      <c r="L162" s="130">
        <v>4841.8999999999996</v>
      </c>
      <c r="M162" s="130"/>
      <c r="N162" s="130">
        <v>4841.8999999999996</v>
      </c>
    </row>
    <row r="163" spans="1:16" ht="26.25" x14ac:dyDescent="0.25">
      <c r="A163" s="7"/>
      <c r="B163" s="7" t="s">
        <v>608</v>
      </c>
      <c r="C163" s="3" t="s">
        <v>609</v>
      </c>
      <c r="D163" s="130">
        <v>6510.9120000000003</v>
      </c>
      <c r="E163" s="130"/>
      <c r="F163" s="130">
        <v>6510.9120000000003</v>
      </c>
      <c r="G163" s="130">
        <v>-174.4</v>
      </c>
      <c r="H163" s="130">
        <f>SUM(F163:G163)</f>
        <v>6336.5120000000006</v>
      </c>
      <c r="I163" s="130">
        <v>6787.7</v>
      </c>
      <c r="J163" s="130"/>
      <c r="K163" s="130">
        <v>6787.7</v>
      </c>
      <c r="L163" s="130">
        <v>6787.7</v>
      </c>
      <c r="M163" s="130"/>
      <c r="N163" s="130">
        <v>6787.7</v>
      </c>
    </row>
    <row r="164" spans="1:16" ht="26.25" x14ac:dyDescent="0.25">
      <c r="A164" s="7" t="s">
        <v>162</v>
      </c>
      <c r="B164" s="7"/>
      <c r="C164" s="3" t="s">
        <v>163</v>
      </c>
      <c r="D164" s="130">
        <f>D166+D167</f>
        <v>204.5</v>
      </c>
      <c r="E164" s="130"/>
      <c r="F164" s="130">
        <f>F166+F167</f>
        <v>204.5</v>
      </c>
      <c r="G164" s="130"/>
      <c r="H164" s="130">
        <f>H166+H167</f>
        <v>204.5</v>
      </c>
      <c r="I164" s="130">
        <f>I166+I167</f>
        <v>0</v>
      </c>
      <c r="J164" s="130"/>
      <c r="K164" s="130">
        <f>K166+K167</f>
        <v>0</v>
      </c>
      <c r="L164" s="130">
        <f>L166+L167</f>
        <v>0</v>
      </c>
      <c r="M164" s="130"/>
      <c r="N164" s="130">
        <f>N166+N167</f>
        <v>0</v>
      </c>
    </row>
    <row r="165" spans="1:16" ht="26.25" x14ac:dyDescent="0.25">
      <c r="A165" s="7"/>
      <c r="B165" s="7" t="s">
        <v>336</v>
      </c>
      <c r="C165" s="3" t="s">
        <v>337</v>
      </c>
      <c r="D165" s="130">
        <f>D166+D167</f>
        <v>204.5</v>
      </c>
      <c r="E165" s="130"/>
      <c r="F165" s="130">
        <f>F166+F167</f>
        <v>204.5</v>
      </c>
      <c r="G165" s="130"/>
      <c r="H165" s="130">
        <f>H166+H167</f>
        <v>204.5</v>
      </c>
      <c r="I165" s="130">
        <v>0</v>
      </c>
      <c r="J165" s="130"/>
      <c r="K165" s="130">
        <v>0</v>
      </c>
      <c r="L165" s="130">
        <v>0</v>
      </c>
      <c r="M165" s="130"/>
      <c r="N165" s="130">
        <v>0</v>
      </c>
    </row>
    <row r="166" spans="1:16" x14ac:dyDescent="0.25">
      <c r="A166" s="7"/>
      <c r="B166" s="7"/>
      <c r="C166" s="3" t="s">
        <v>95</v>
      </c>
      <c r="D166" s="130">
        <v>136.30000000000001</v>
      </c>
      <c r="E166" s="130"/>
      <c r="F166" s="130">
        <v>136.30000000000001</v>
      </c>
      <c r="G166" s="130"/>
      <c r="H166" s="130">
        <v>136.30000000000001</v>
      </c>
      <c r="I166" s="130">
        <v>0</v>
      </c>
      <c r="J166" s="130"/>
      <c r="K166" s="130">
        <v>0</v>
      </c>
      <c r="L166" s="130">
        <v>0</v>
      </c>
      <c r="M166" s="130"/>
      <c r="N166" s="130">
        <v>0</v>
      </c>
    </row>
    <row r="167" spans="1:16" x14ac:dyDescent="0.25">
      <c r="A167" s="7"/>
      <c r="B167" s="7"/>
      <c r="C167" s="3" t="s">
        <v>96</v>
      </c>
      <c r="D167" s="130">
        <v>68.2</v>
      </c>
      <c r="E167" s="130"/>
      <c r="F167" s="130">
        <v>68.2</v>
      </c>
      <c r="G167" s="130"/>
      <c r="H167" s="130">
        <v>68.2</v>
      </c>
      <c r="I167" s="130">
        <v>0</v>
      </c>
      <c r="J167" s="130"/>
      <c r="K167" s="130">
        <v>0</v>
      </c>
      <c r="L167" s="130">
        <v>0</v>
      </c>
      <c r="M167" s="130"/>
      <c r="N167" s="130">
        <v>0</v>
      </c>
    </row>
    <row r="168" spans="1:16" ht="26.25" x14ac:dyDescent="0.25">
      <c r="A168" s="34" t="s">
        <v>164</v>
      </c>
      <c r="B168" s="34"/>
      <c r="C168" s="35" t="s">
        <v>165</v>
      </c>
      <c r="D168" s="139">
        <f t="shared" ref="D168:I168" si="16">D169</f>
        <v>4839.8189999999995</v>
      </c>
      <c r="E168" s="139">
        <f t="shared" si="16"/>
        <v>2540.1000000000004</v>
      </c>
      <c r="F168" s="139">
        <f t="shared" si="16"/>
        <v>8676.8150000000005</v>
      </c>
      <c r="G168" s="139">
        <f t="shared" si="16"/>
        <v>595</v>
      </c>
      <c r="H168" s="139">
        <f t="shared" si="16"/>
        <v>9271.8150000000005</v>
      </c>
      <c r="I168" s="139">
        <f t="shared" si="16"/>
        <v>7205.3</v>
      </c>
      <c r="J168" s="139"/>
      <c r="K168" s="139">
        <f>K169</f>
        <v>7205.3</v>
      </c>
      <c r="L168" s="139">
        <f>L169</f>
        <v>10194.5</v>
      </c>
      <c r="M168" s="139"/>
      <c r="N168" s="139">
        <f>N169</f>
        <v>10194.5</v>
      </c>
      <c r="P168" s="45"/>
    </row>
    <row r="169" spans="1:16" ht="39" x14ac:dyDescent="0.25">
      <c r="A169" s="39" t="s">
        <v>166</v>
      </c>
      <c r="B169" s="39"/>
      <c r="C169" s="37" t="s">
        <v>167</v>
      </c>
      <c r="D169" s="131">
        <f>D170+D176+D174+D178+D180+D182</f>
        <v>4839.8189999999995</v>
      </c>
      <c r="E169" s="131">
        <f>E170+E176+E174+E178+E180+E182+E189+E187</f>
        <v>2540.1000000000004</v>
      </c>
      <c r="F169" s="131">
        <f>F170+F176+F174+F178+F180+F182+F187+F189</f>
        <v>8676.8150000000005</v>
      </c>
      <c r="G169" s="131">
        <f>G170+G176+G174+G178+G180+G182+G189</f>
        <v>595</v>
      </c>
      <c r="H169" s="131">
        <f>H170+H176+H174+H178+H180+H182+H189</f>
        <v>9271.8150000000005</v>
      </c>
      <c r="I169" s="131">
        <f>I170+I176+I174+I178+I180+I182+I189</f>
        <v>7205.3</v>
      </c>
      <c r="J169" s="131"/>
      <c r="K169" s="131">
        <f>K170+K176+K174+K178+K180+K182+K189</f>
        <v>7205.3</v>
      </c>
      <c r="L169" s="131">
        <f>L170+L176+L174+L178+L180+L182+L189</f>
        <v>10194.5</v>
      </c>
      <c r="M169" s="131"/>
      <c r="N169" s="131">
        <f>N170+N176+N174+N178+N180+N182+N189</f>
        <v>10194.5</v>
      </c>
    </row>
    <row r="170" spans="1:16" ht="26.25" x14ac:dyDescent="0.25">
      <c r="A170" s="7" t="s">
        <v>168</v>
      </c>
      <c r="B170" s="7"/>
      <c r="C170" s="3" t="s">
        <v>169</v>
      </c>
      <c r="D170" s="130">
        <f>D172+D173</f>
        <v>4839.8189999999995</v>
      </c>
      <c r="E170" s="130"/>
      <c r="F170" s="130">
        <f>F171</f>
        <v>4882.1149999999998</v>
      </c>
      <c r="G170" s="130"/>
      <c r="H170" s="130">
        <f>H172+H173</f>
        <v>4882.1149999999998</v>
      </c>
      <c r="I170" s="130">
        <v>0</v>
      </c>
      <c r="J170" s="130"/>
      <c r="K170" s="130">
        <v>0</v>
      </c>
      <c r="L170" s="130">
        <v>0</v>
      </c>
      <c r="M170" s="130"/>
      <c r="N170" s="130">
        <v>0</v>
      </c>
    </row>
    <row r="171" spans="1:16" ht="26.25" x14ac:dyDescent="0.25">
      <c r="A171" s="7"/>
      <c r="B171" s="7" t="s">
        <v>608</v>
      </c>
      <c r="C171" s="3" t="s">
        <v>609</v>
      </c>
      <c r="D171" s="130">
        <f>SUM(D173+D172)</f>
        <v>4839.8189999999995</v>
      </c>
      <c r="E171" s="130"/>
      <c r="F171" s="130">
        <v>4882.1149999999998</v>
      </c>
      <c r="G171" s="130"/>
      <c r="H171" s="130">
        <f>SUM(H173+H172)</f>
        <v>4882.1149999999998</v>
      </c>
      <c r="I171" s="130">
        <v>0</v>
      </c>
      <c r="J171" s="130"/>
      <c r="K171" s="130">
        <v>0</v>
      </c>
      <c r="L171" s="130">
        <v>0</v>
      </c>
      <c r="M171" s="130"/>
      <c r="N171" s="130">
        <v>0</v>
      </c>
    </row>
    <row r="172" spans="1:16" x14ac:dyDescent="0.25">
      <c r="A172" s="7"/>
      <c r="B172" s="7"/>
      <c r="C172" s="3" t="s">
        <v>170</v>
      </c>
      <c r="D172" s="130">
        <v>3629.864</v>
      </c>
      <c r="E172" s="130"/>
      <c r="F172" s="130">
        <v>3629.864</v>
      </c>
      <c r="G172" s="130"/>
      <c r="H172" s="130">
        <v>3629.864</v>
      </c>
      <c r="I172" s="130">
        <v>0</v>
      </c>
      <c r="J172" s="130"/>
      <c r="K172" s="130">
        <v>0</v>
      </c>
      <c r="L172" s="130">
        <v>0</v>
      </c>
      <c r="M172" s="130"/>
      <c r="N172" s="130">
        <v>0</v>
      </c>
    </row>
    <row r="173" spans="1:16" x14ac:dyDescent="0.25">
      <c r="A173" s="7"/>
      <c r="B173" s="7"/>
      <c r="C173" s="3" t="s">
        <v>171</v>
      </c>
      <c r="D173" s="130">
        <v>1209.9549999999999</v>
      </c>
      <c r="E173" s="130"/>
      <c r="F173" s="130">
        <v>1252.251</v>
      </c>
      <c r="G173" s="146"/>
      <c r="H173" s="130">
        <f>SUM(F173:G173)</f>
        <v>1252.251</v>
      </c>
      <c r="I173" s="130">
        <v>0</v>
      </c>
      <c r="J173" s="130"/>
      <c r="K173" s="130">
        <v>0</v>
      </c>
      <c r="L173" s="130">
        <v>0</v>
      </c>
      <c r="M173" s="130"/>
      <c r="N173" s="130">
        <v>0</v>
      </c>
    </row>
    <row r="174" spans="1:16" ht="38.25" x14ac:dyDescent="0.25">
      <c r="A174" s="4" t="s">
        <v>172</v>
      </c>
      <c r="B174" s="4"/>
      <c r="C174" s="5" t="s">
        <v>173</v>
      </c>
      <c r="D174" s="130">
        <v>0</v>
      </c>
      <c r="E174" s="146">
        <v>100.2</v>
      </c>
      <c r="F174" s="130">
        <f>F175</f>
        <v>834.30000000000007</v>
      </c>
      <c r="G174" s="130">
        <f>G175</f>
        <v>193.2</v>
      </c>
      <c r="H174" s="130">
        <f>H175</f>
        <v>1027.5</v>
      </c>
      <c r="I174" s="130">
        <v>0</v>
      </c>
      <c r="J174" s="130"/>
      <c r="K174" s="130">
        <v>0</v>
      </c>
      <c r="L174" s="130">
        <v>0</v>
      </c>
      <c r="M174" s="130"/>
      <c r="N174" s="130">
        <v>0</v>
      </c>
    </row>
    <row r="175" spans="1:16" ht="26.25" x14ac:dyDescent="0.25">
      <c r="A175" s="4"/>
      <c r="B175" s="7" t="s">
        <v>608</v>
      </c>
      <c r="C175" s="3" t="s">
        <v>609</v>
      </c>
      <c r="D175" s="130"/>
      <c r="E175" s="146">
        <v>100.2</v>
      </c>
      <c r="F175" s="130">
        <v>834.30000000000007</v>
      </c>
      <c r="G175" s="130">
        <v>193.2</v>
      </c>
      <c r="H175" s="130">
        <f>F175+G175</f>
        <v>1027.5</v>
      </c>
      <c r="I175" s="130">
        <v>0</v>
      </c>
      <c r="J175" s="130"/>
      <c r="K175" s="130">
        <v>0</v>
      </c>
      <c r="L175" s="130">
        <v>0</v>
      </c>
      <c r="M175" s="130"/>
      <c r="N175" s="130">
        <v>0</v>
      </c>
    </row>
    <row r="176" spans="1:16" ht="51" x14ac:dyDescent="0.25">
      <c r="A176" s="4" t="s">
        <v>174</v>
      </c>
      <c r="B176" s="4"/>
      <c r="C176" s="6" t="s">
        <v>175</v>
      </c>
      <c r="D176" s="147">
        <v>0</v>
      </c>
      <c r="E176" s="148"/>
      <c r="F176" s="147">
        <f>F177</f>
        <v>520.5</v>
      </c>
      <c r="G176" s="147">
        <f>G177</f>
        <v>401.8</v>
      </c>
      <c r="H176" s="147">
        <f>H177</f>
        <v>922.3</v>
      </c>
      <c r="I176" s="147">
        <v>0</v>
      </c>
      <c r="J176" s="147"/>
      <c r="K176" s="147">
        <v>0</v>
      </c>
      <c r="L176" s="147">
        <v>0</v>
      </c>
      <c r="M176" s="147"/>
      <c r="N176" s="147">
        <v>0</v>
      </c>
    </row>
    <row r="177" spans="1:23" ht="26.25" x14ac:dyDescent="0.25">
      <c r="A177" s="4"/>
      <c r="B177" s="7" t="s">
        <v>608</v>
      </c>
      <c r="C177" s="3" t="s">
        <v>609</v>
      </c>
      <c r="D177" s="147"/>
      <c r="E177" s="148"/>
      <c r="F177" s="147">
        <v>520.5</v>
      </c>
      <c r="G177" s="147">
        <f>144.3+257.5</f>
        <v>401.8</v>
      </c>
      <c r="H177" s="147">
        <f>F177+G177</f>
        <v>922.3</v>
      </c>
      <c r="I177" s="147">
        <v>0</v>
      </c>
      <c r="J177" s="147"/>
      <c r="K177" s="147">
        <v>0</v>
      </c>
      <c r="L177" s="147">
        <v>0</v>
      </c>
      <c r="M177" s="147"/>
      <c r="N177" s="147">
        <v>0</v>
      </c>
    </row>
    <row r="178" spans="1:23" ht="25.5" x14ac:dyDescent="0.25">
      <c r="A178" s="4" t="s">
        <v>176</v>
      </c>
      <c r="B178" s="4"/>
      <c r="C178" s="6" t="s">
        <v>177</v>
      </c>
      <c r="D178" s="147">
        <v>0</v>
      </c>
      <c r="E178" s="148"/>
      <c r="F178" s="147">
        <v>0</v>
      </c>
      <c r="G178" s="147"/>
      <c r="H178" s="147">
        <v>0</v>
      </c>
      <c r="I178" s="147">
        <v>0</v>
      </c>
      <c r="J178" s="147"/>
      <c r="K178" s="147">
        <v>0</v>
      </c>
      <c r="L178" s="147">
        <v>0</v>
      </c>
      <c r="M178" s="147"/>
      <c r="N178" s="147">
        <v>0</v>
      </c>
    </row>
    <row r="179" spans="1:23" ht="26.25" x14ac:dyDescent="0.25">
      <c r="A179" s="4"/>
      <c r="B179" s="7" t="s">
        <v>608</v>
      </c>
      <c r="C179" s="3" t="s">
        <v>609</v>
      </c>
      <c r="D179" s="147"/>
      <c r="E179" s="148"/>
      <c r="F179" s="147"/>
      <c r="G179" s="147"/>
      <c r="H179" s="147"/>
      <c r="I179" s="147"/>
      <c r="J179" s="147"/>
      <c r="K179" s="147"/>
      <c r="L179" s="147"/>
      <c r="M179" s="147"/>
      <c r="N179" s="147"/>
    </row>
    <row r="180" spans="1:23" ht="25.5" x14ac:dyDescent="0.25">
      <c r="A180" s="4" t="s">
        <v>178</v>
      </c>
      <c r="B180" s="4"/>
      <c r="C180" s="6" t="s">
        <v>179</v>
      </c>
      <c r="D180" s="147">
        <v>0</v>
      </c>
      <c r="E180" s="148">
        <f>E181</f>
        <v>483.6</v>
      </c>
      <c r="F180" s="147">
        <f>F181</f>
        <v>483.6</v>
      </c>
      <c r="G180" s="147"/>
      <c r="H180" s="147">
        <f>H181</f>
        <v>483.6</v>
      </c>
      <c r="I180" s="147">
        <v>0</v>
      </c>
      <c r="J180" s="147"/>
      <c r="K180" s="147">
        <v>0</v>
      </c>
      <c r="L180" s="147">
        <v>0</v>
      </c>
      <c r="M180" s="147"/>
      <c r="N180" s="147">
        <v>0</v>
      </c>
    </row>
    <row r="181" spans="1:23" ht="26.25" x14ac:dyDescent="0.25">
      <c r="A181" s="4"/>
      <c r="B181" s="7" t="s">
        <v>608</v>
      </c>
      <c r="C181" s="3" t="s">
        <v>609</v>
      </c>
      <c r="D181" s="147"/>
      <c r="E181" s="148">
        <v>483.6</v>
      </c>
      <c r="F181" s="147">
        <v>483.6</v>
      </c>
      <c r="G181" s="147"/>
      <c r="H181" s="147">
        <v>483.6</v>
      </c>
      <c r="I181" s="147">
        <v>0</v>
      </c>
      <c r="J181" s="147"/>
      <c r="K181" s="147">
        <v>0</v>
      </c>
      <c r="L181" s="147">
        <v>0</v>
      </c>
      <c r="M181" s="147"/>
      <c r="N181" s="147">
        <v>0</v>
      </c>
    </row>
    <row r="182" spans="1:23" ht="25.5" x14ac:dyDescent="0.25">
      <c r="A182" s="7" t="s">
        <v>553</v>
      </c>
      <c r="B182" s="4"/>
      <c r="C182" s="6" t="s">
        <v>181</v>
      </c>
      <c r="D182" s="148">
        <v>0</v>
      </c>
      <c r="E182" s="148">
        <f>E183</f>
        <v>0</v>
      </c>
      <c r="F182" s="148">
        <f>F183</f>
        <v>0</v>
      </c>
      <c r="G182" s="148"/>
      <c r="H182" s="148">
        <f>H183</f>
        <v>1386.3</v>
      </c>
      <c r="I182" s="148">
        <v>5435.3</v>
      </c>
      <c r="J182" s="148"/>
      <c r="K182" s="148">
        <v>5435.3</v>
      </c>
      <c r="L182" s="148">
        <v>8354.5</v>
      </c>
      <c r="M182" s="148"/>
      <c r="N182" s="148">
        <v>8354.5</v>
      </c>
    </row>
    <row r="183" spans="1:23" ht="26.25" x14ac:dyDescent="0.25">
      <c r="A183" s="7"/>
      <c r="B183" s="7" t="s">
        <v>608</v>
      </c>
      <c r="C183" s="3" t="s">
        <v>609</v>
      </c>
      <c r="D183" s="148">
        <v>0</v>
      </c>
      <c r="E183" s="148">
        <f>SUM(E184:E186)</f>
        <v>0</v>
      </c>
      <c r="F183" s="148">
        <f>SUM(F184:F186)</f>
        <v>0</v>
      </c>
      <c r="G183" s="148"/>
      <c r="H183" s="148">
        <f>SUM(H184:H186)</f>
        <v>1386.3</v>
      </c>
      <c r="I183" s="148">
        <v>5435.3</v>
      </c>
      <c r="J183" s="148"/>
      <c r="K183" s="148">
        <v>5435.3</v>
      </c>
      <c r="L183" s="148">
        <v>8354.5</v>
      </c>
      <c r="M183" s="148"/>
      <c r="N183" s="148">
        <v>8354.5</v>
      </c>
    </row>
    <row r="184" spans="1:23" x14ac:dyDescent="0.25">
      <c r="A184" s="7"/>
      <c r="B184" s="7"/>
      <c r="C184" s="3" t="s">
        <v>182</v>
      </c>
      <c r="D184" s="130"/>
      <c r="E184" s="146"/>
      <c r="F184" s="130">
        <v>0</v>
      </c>
      <c r="G184" s="130"/>
      <c r="H184" s="130">
        <v>0</v>
      </c>
      <c r="I184" s="130">
        <v>0</v>
      </c>
      <c r="J184" s="130"/>
      <c r="K184" s="130">
        <v>0</v>
      </c>
      <c r="L184" s="130">
        <v>0</v>
      </c>
      <c r="M184" s="130"/>
      <c r="N184" s="130">
        <v>0</v>
      </c>
    </row>
    <row r="185" spans="1:23" x14ac:dyDescent="0.25">
      <c r="A185" s="7"/>
      <c r="B185" s="7"/>
      <c r="C185" s="3" t="s">
        <v>183</v>
      </c>
      <c r="D185" s="130"/>
      <c r="E185" s="146"/>
      <c r="F185" s="130">
        <v>0</v>
      </c>
      <c r="G185" s="130"/>
      <c r="H185" s="130">
        <v>0</v>
      </c>
      <c r="I185" s="130">
        <v>0</v>
      </c>
      <c r="J185" s="130"/>
      <c r="K185" s="130">
        <v>0</v>
      </c>
      <c r="L185" s="130">
        <v>0</v>
      </c>
      <c r="M185" s="130"/>
      <c r="N185" s="130">
        <v>0</v>
      </c>
      <c r="T185" s="48"/>
      <c r="U185" s="48"/>
      <c r="V185" s="48"/>
      <c r="W185" s="48"/>
    </row>
    <row r="186" spans="1:23" x14ac:dyDescent="0.25">
      <c r="A186" s="7"/>
      <c r="B186" s="7"/>
      <c r="C186" s="3" t="s">
        <v>120</v>
      </c>
      <c r="D186" s="130"/>
      <c r="E186" s="146"/>
      <c r="F186" s="130">
        <v>0</v>
      </c>
      <c r="G186" s="130"/>
      <c r="H186" s="130">
        <v>1386.3</v>
      </c>
      <c r="I186" s="130">
        <v>5435.3</v>
      </c>
      <c r="J186" s="130"/>
      <c r="K186" s="130">
        <v>5435.3</v>
      </c>
      <c r="L186" s="130">
        <v>8354.5</v>
      </c>
      <c r="M186" s="130"/>
      <c r="N186" s="130">
        <v>8354.5</v>
      </c>
      <c r="T186" s="49"/>
      <c r="U186" s="49"/>
    </row>
    <row r="187" spans="1:23" ht="25.5" x14ac:dyDescent="0.25">
      <c r="A187" s="7" t="s">
        <v>799</v>
      </c>
      <c r="B187" s="4"/>
      <c r="C187" s="6" t="s">
        <v>800</v>
      </c>
      <c r="D187" s="130"/>
      <c r="E187" s="146">
        <f>E188</f>
        <v>1386.3</v>
      </c>
      <c r="F187" s="130">
        <f>F188</f>
        <v>1386.3</v>
      </c>
      <c r="G187" s="130"/>
      <c r="H187" s="130">
        <f>H188</f>
        <v>1386.3</v>
      </c>
      <c r="I187" s="130">
        <v>0</v>
      </c>
      <c r="J187" s="130"/>
      <c r="K187" s="130">
        <v>0</v>
      </c>
      <c r="L187" s="130">
        <v>0</v>
      </c>
      <c r="M187" s="130"/>
      <c r="N187" s="130">
        <v>0</v>
      </c>
      <c r="T187" s="49"/>
      <c r="U187" s="49"/>
    </row>
    <row r="188" spans="1:23" ht="26.25" x14ac:dyDescent="0.25">
      <c r="A188" s="7"/>
      <c r="B188" s="7" t="s">
        <v>608</v>
      </c>
      <c r="C188" s="3" t="s">
        <v>609</v>
      </c>
      <c r="D188" s="130"/>
      <c r="E188" s="146">
        <v>1386.3</v>
      </c>
      <c r="F188" s="130">
        <v>1386.3</v>
      </c>
      <c r="G188" s="130"/>
      <c r="H188" s="130">
        <v>1386.3</v>
      </c>
      <c r="I188" s="130">
        <v>0</v>
      </c>
      <c r="J188" s="130"/>
      <c r="K188" s="130">
        <v>0</v>
      </c>
      <c r="L188" s="130">
        <v>0</v>
      </c>
      <c r="M188" s="130"/>
      <c r="N188" s="130">
        <v>0</v>
      </c>
      <c r="T188" s="49"/>
      <c r="U188" s="49"/>
    </row>
    <row r="189" spans="1:23" ht="29.25" customHeight="1" x14ac:dyDescent="0.25">
      <c r="A189" s="7" t="s">
        <v>769</v>
      </c>
      <c r="B189" s="7"/>
      <c r="C189" s="1" t="s">
        <v>797</v>
      </c>
      <c r="D189" s="130"/>
      <c r="E189" s="146">
        <f>E191</f>
        <v>570</v>
      </c>
      <c r="F189" s="130">
        <f>F191</f>
        <v>570</v>
      </c>
      <c r="G189" s="130"/>
      <c r="H189" s="130">
        <f>H191</f>
        <v>570</v>
      </c>
      <c r="I189" s="130">
        <f>I191</f>
        <v>1770</v>
      </c>
      <c r="J189" s="130"/>
      <c r="K189" s="130">
        <f>K191</f>
        <v>1770</v>
      </c>
      <c r="L189" s="130">
        <f>L191</f>
        <v>1840</v>
      </c>
      <c r="M189" s="130"/>
      <c r="N189" s="130">
        <f>N191</f>
        <v>1840</v>
      </c>
      <c r="T189" s="49"/>
      <c r="U189" s="49"/>
    </row>
    <row r="190" spans="1:23" x14ac:dyDescent="0.25">
      <c r="A190" s="7"/>
      <c r="B190" s="7"/>
      <c r="C190" s="3" t="s">
        <v>798</v>
      </c>
      <c r="D190" s="130"/>
      <c r="E190" s="146"/>
      <c r="F190" s="130">
        <v>0</v>
      </c>
      <c r="G190" s="130"/>
      <c r="H190" s="130">
        <v>0</v>
      </c>
      <c r="I190" s="130">
        <v>0</v>
      </c>
      <c r="J190" s="130"/>
      <c r="K190" s="130">
        <v>0</v>
      </c>
      <c r="L190" s="130">
        <v>0</v>
      </c>
      <c r="M190" s="130"/>
      <c r="N190" s="130">
        <v>0</v>
      </c>
      <c r="T190" s="49"/>
      <c r="U190" s="49"/>
    </row>
    <row r="191" spans="1:23" ht="26.25" x14ac:dyDescent="0.25">
      <c r="A191" s="7"/>
      <c r="B191" s="7" t="s">
        <v>608</v>
      </c>
      <c r="C191" s="3" t="s">
        <v>609</v>
      </c>
      <c r="D191" s="130"/>
      <c r="E191" s="146">
        <f>E193</f>
        <v>570</v>
      </c>
      <c r="F191" s="130">
        <f>F193</f>
        <v>570</v>
      </c>
      <c r="G191" s="130"/>
      <c r="H191" s="130">
        <f>H193</f>
        <v>570</v>
      </c>
      <c r="I191" s="130">
        <f>I193</f>
        <v>1770</v>
      </c>
      <c r="J191" s="130"/>
      <c r="K191" s="130">
        <f>K193</f>
        <v>1770</v>
      </c>
      <c r="L191" s="130">
        <f>L193</f>
        <v>1840</v>
      </c>
      <c r="M191" s="130"/>
      <c r="N191" s="130">
        <f>N193</f>
        <v>1840</v>
      </c>
      <c r="T191" s="49"/>
      <c r="U191" s="49"/>
    </row>
    <row r="192" spans="1:23" x14ac:dyDescent="0.25">
      <c r="A192" s="7"/>
      <c r="B192" s="7"/>
      <c r="C192" s="3" t="s">
        <v>183</v>
      </c>
      <c r="D192" s="130"/>
      <c r="E192" s="146"/>
      <c r="F192" s="130"/>
      <c r="G192" s="130"/>
      <c r="H192" s="130"/>
      <c r="I192" s="130"/>
      <c r="J192" s="130"/>
      <c r="K192" s="130"/>
      <c r="L192" s="130"/>
      <c r="M192" s="130"/>
      <c r="N192" s="130"/>
      <c r="T192" s="49"/>
      <c r="U192" s="49"/>
    </row>
    <row r="193" spans="1:23" x14ac:dyDescent="0.25">
      <c r="A193" s="7"/>
      <c r="B193" s="7"/>
      <c r="C193" s="3" t="s">
        <v>120</v>
      </c>
      <c r="D193" s="130"/>
      <c r="E193" s="146">
        <v>570</v>
      </c>
      <c r="F193" s="130">
        <v>570</v>
      </c>
      <c r="G193" s="130"/>
      <c r="H193" s="130">
        <v>570</v>
      </c>
      <c r="I193" s="130">
        <v>1770</v>
      </c>
      <c r="J193" s="130"/>
      <c r="K193" s="130">
        <v>1770</v>
      </c>
      <c r="L193" s="130">
        <v>1840</v>
      </c>
      <c r="M193" s="130"/>
      <c r="N193" s="130">
        <v>1840</v>
      </c>
      <c r="T193" s="49"/>
      <c r="U193" s="49"/>
    </row>
    <row r="194" spans="1:23" ht="26.25" x14ac:dyDescent="0.25">
      <c r="A194" s="34" t="s">
        <v>184</v>
      </c>
      <c r="B194" s="34"/>
      <c r="C194" s="35" t="s">
        <v>185</v>
      </c>
      <c r="D194" s="139">
        <f t="shared" ref="D194:N195" si="17">D195</f>
        <v>40.200000000000003</v>
      </c>
      <c r="E194" s="139"/>
      <c r="F194" s="139">
        <f t="shared" si="17"/>
        <v>40.200000000000003</v>
      </c>
      <c r="G194" s="139"/>
      <c r="H194" s="139">
        <f t="shared" si="17"/>
        <v>40.200000000000003</v>
      </c>
      <c r="I194" s="139">
        <f t="shared" si="17"/>
        <v>40.799999999999997</v>
      </c>
      <c r="J194" s="139"/>
      <c r="K194" s="139">
        <f t="shared" si="17"/>
        <v>40.799999999999997</v>
      </c>
      <c r="L194" s="139">
        <f t="shared" si="17"/>
        <v>41.4</v>
      </c>
      <c r="M194" s="139"/>
      <c r="N194" s="139">
        <f t="shared" si="17"/>
        <v>41.4</v>
      </c>
      <c r="P194" s="45"/>
      <c r="T194" s="296"/>
      <c r="U194" s="296"/>
      <c r="V194" s="296"/>
      <c r="W194" s="296"/>
    </row>
    <row r="195" spans="1:23" ht="26.25" x14ac:dyDescent="0.25">
      <c r="A195" s="36" t="s">
        <v>186</v>
      </c>
      <c r="B195" s="36"/>
      <c r="C195" s="37" t="s">
        <v>187</v>
      </c>
      <c r="D195" s="131">
        <f t="shared" si="17"/>
        <v>40.200000000000003</v>
      </c>
      <c r="E195" s="131"/>
      <c r="F195" s="131">
        <f t="shared" si="17"/>
        <v>40.200000000000003</v>
      </c>
      <c r="G195" s="131"/>
      <c r="H195" s="131">
        <f t="shared" si="17"/>
        <v>40.200000000000003</v>
      </c>
      <c r="I195" s="131">
        <f t="shared" si="17"/>
        <v>40.799999999999997</v>
      </c>
      <c r="J195" s="131"/>
      <c r="K195" s="131">
        <f t="shared" si="17"/>
        <v>40.799999999999997</v>
      </c>
      <c r="L195" s="131">
        <f t="shared" si="17"/>
        <v>41.4</v>
      </c>
      <c r="M195" s="131"/>
      <c r="N195" s="131">
        <f t="shared" si="17"/>
        <v>41.4</v>
      </c>
      <c r="T195" s="49"/>
    </row>
    <row r="196" spans="1:23" ht="26.25" x14ac:dyDescent="0.25">
      <c r="A196" s="7" t="s">
        <v>188</v>
      </c>
      <c r="B196" s="7"/>
      <c r="C196" s="3" t="s">
        <v>189</v>
      </c>
      <c r="D196" s="130">
        <v>40.200000000000003</v>
      </c>
      <c r="E196" s="130"/>
      <c r="F196" s="130">
        <v>40.200000000000003</v>
      </c>
      <c r="G196" s="130"/>
      <c r="H196" s="130">
        <v>40.200000000000003</v>
      </c>
      <c r="I196" s="130">
        <v>40.799999999999997</v>
      </c>
      <c r="J196" s="130"/>
      <c r="K196" s="130">
        <v>40.799999999999997</v>
      </c>
      <c r="L196" s="130">
        <v>41.4</v>
      </c>
      <c r="M196" s="130"/>
      <c r="N196" s="130">
        <v>41.4</v>
      </c>
      <c r="T196" s="49"/>
    </row>
    <row r="197" spans="1:23" ht="26.25" x14ac:dyDescent="0.25">
      <c r="A197" s="7"/>
      <c r="B197" s="7" t="s">
        <v>608</v>
      </c>
      <c r="C197" s="3" t="s">
        <v>609</v>
      </c>
      <c r="D197" s="130">
        <v>40.200000000000003</v>
      </c>
      <c r="E197" s="130"/>
      <c r="F197" s="130">
        <v>40.200000000000003</v>
      </c>
      <c r="G197" s="130"/>
      <c r="H197" s="130">
        <v>40.200000000000003</v>
      </c>
      <c r="I197" s="130">
        <v>40.799999999999997</v>
      </c>
      <c r="J197" s="130"/>
      <c r="K197" s="130">
        <v>40.799999999999997</v>
      </c>
      <c r="L197" s="130">
        <v>41.4</v>
      </c>
      <c r="M197" s="130"/>
      <c r="N197" s="130">
        <v>41.4</v>
      </c>
      <c r="T197" s="49"/>
    </row>
    <row r="198" spans="1:23" ht="26.25" x14ac:dyDescent="0.25">
      <c r="A198" s="32" t="s">
        <v>190</v>
      </c>
      <c r="B198" s="32"/>
      <c r="C198" s="40" t="s">
        <v>191</v>
      </c>
      <c r="D198" s="132">
        <f>D199+D203+D207+D211</f>
        <v>405.5</v>
      </c>
      <c r="E198" s="132"/>
      <c r="F198" s="132">
        <f>F199+F203+F207+F211</f>
        <v>405.5</v>
      </c>
      <c r="G198" s="132"/>
      <c r="H198" s="132">
        <f>H199+H203+H207+H211</f>
        <v>405.5</v>
      </c>
      <c r="I198" s="132">
        <f>I199+I203+I207+I211</f>
        <v>421.7</v>
      </c>
      <c r="J198" s="132"/>
      <c r="K198" s="132">
        <f>K199+K203+K207+K211</f>
        <v>421.7</v>
      </c>
      <c r="L198" s="132">
        <f>L199+L203+L207+L211</f>
        <v>438.6</v>
      </c>
      <c r="M198" s="132"/>
      <c r="N198" s="132">
        <f>N199+N203+N207+N211</f>
        <v>438.6</v>
      </c>
    </row>
    <row r="199" spans="1:23" ht="26.25" x14ac:dyDescent="0.25">
      <c r="A199" s="50" t="s">
        <v>192</v>
      </c>
      <c r="B199" s="50"/>
      <c r="C199" s="51" t="s">
        <v>193</v>
      </c>
      <c r="D199" s="139">
        <f t="shared" ref="D199:N200" si="18">D200</f>
        <v>300</v>
      </c>
      <c r="E199" s="139"/>
      <c r="F199" s="139">
        <f t="shared" si="18"/>
        <v>300</v>
      </c>
      <c r="G199" s="139"/>
      <c r="H199" s="139">
        <f t="shared" si="18"/>
        <v>300</v>
      </c>
      <c r="I199" s="139">
        <f t="shared" si="18"/>
        <v>312</v>
      </c>
      <c r="J199" s="139"/>
      <c r="K199" s="139">
        <f t="shared" si="18"/>
        <v>312</v>
      </c>
      <c r="L199" s="139">
        <f t="shared" si="18"/>
        <v>324.5</v>
      </c>
      <c r="M199" s="139"/>
      <c r="N199" s="139">
        <f t="shared" si="18"/>
        <v>324.5</v>
      </c>
    </row>
    <row r="200" spans="1:23" ht="26.25" x14ac:dyDescent="0.25">
      <c r="A200" s="36" t="s">
        <v>194</v>
      </c>
      <c r="B200" s="36"/>
      <c r="C200" s="37" t="s">
        <v>195</v>
      </c>
      <c r="D200" s="131">
        <f t="shared" si="18"/>
        <v>300</v>
      </c>
      <c r="E200" s="131"/>
      <c r="F200" s="131">
        <f t="shared" si="18"/>
        <v>300</v>
      </c>
      <c r="G200" s="131"/>
      <c r="H200" s="131">
        <f t="shared" si="18"/>
        <v>300</v>
      </c>
      <c r="I200" s="131">
        <f t="shared" si="18"/>
        <v>312</v>
      </c>
      <c r="J200" s="131"/>
      <c r="K200" s="131">
        <f t="shared" si="18"/>
        <v>312</v>
      </c>
      <c r="L200" s="131">
        <f t="shared" si="18"/>
        <v>324.5</v>
      </c>
      <c r="M200" s="131"/>
      <c r="N200" s="131">
        <f t="shared" si="18"/>
        <v>324.5</v>
      </c>
    </row>
    <row r="201" spans="1:23" ht="26.25" x14ac:dyDescent="0.25">
      <c r="A201" s="7" t="s">
        <v>196</v>
      </c>
      <c r="B201" s="7"/>
      <c r="C201" s="52" t="s">
        <v>197</v>
      </c>
      <c r="D201" s="130">
        <v>300</v>
      </c>
      <c r="E201" s="130"/>
      <c r="F201" s="130">
        <v>300</v>
      </c>
      <c r="G201" s="130"/>
      <c r="H201" s="130">
        <v>300</v>
      </c>
      <c r="I201" s="130">
        <v>312</v>
      </c>
      <c r="J201" s="130"/>
      <c r="K201" s="130">
        <v>312</v>
      </c>
      <c r="L201" s="130">
        <v>324.5</v>
      </c>
      <c r="M201" s="130"/>
      <c r="N201" s="130">
        <v>324.5</v>
      </c>
    </row>
    <row r="202" spans="1:23" ht="26.25" x14ac:dyDescent="0.25">
      <c r="A202" s="7"/>
      <c r="B202" s="7" t="s">
        <v>608</v>
      </c>
      <c r="C202" s="3" t="s">
        <v>609</v>
      </c>
      <c r="D202" s="130">
        <v>300</v>
      </c>
      <c r="E202" s="130"/>
      <c r="F202" s="130">
        <v>300</v>
      </c>
      <c r="G202" s="130"/>
      <c r="H202" s="130">
        <v>300</v>
      </c>
      <c r="I202" s="130">
        <v>312</v>
      </c>
      <c r="J202" s="130"/>
      <c r="K202" s="130">
        <v>312</v>
      </c>
      <c r="L202" s="130">
        <v>324.5</v>
      </c>
      <c r="M202" s="130"/>
      <c r="N202" s="130">
        <v>324.5</v>
      </c>
    </row>
    <row r="203" spans="1:23" ht="26.25" x14ac:dyDescent="0.25">
      <c r="A203" s="34" t="s">
        <v>198</v>
      </c>
      <c r="B203" s="34"/>
      <c r="C203" s="35" t="s">
        <v>199</v>
      </c>
      <c r="D203" s="139">
        <f>D204</f>
        <v>19</v>
      </c>
      <c r="E203" s="139"/>
      <c r="F203" s="139">
        <f t="shared" ref="F203:N204" si="19">F204</f>
        <v>19</v>
      </c>
      <c r="G203" s="139"/>
      <c r="H203" s="139">
        <f t="shared" si="19"/>
        <v>19</v>
      </c>
      <c r="I203" s="139">
        <f t="shared" si="19"/>
        <v>19.7</v>
      </c>
      <c r="J203" s="139"/>
      <c r="K203" s="139">
        <f t="shared" si="19"/>
        <v>19.7</v>
      </c>
      <c r="L203" s="139">
        <f t="shared" si="19"/>
        <v>20.5</v>
      </c>
      <c r="M203" s="139"/>
      <c r="N203" s="139">
        <f t="shared" si="19"/>
        <v>20.5</v>
      </c>
    </row>
    <row r="204" spans="1:23" ht="26.25" x14ac:dyDescent="0.25">
      <c r="A204" s="36" t="s">
        <v>200</v>
      </c>
      <c r="B204" s="36"/>
      <c r="C204" s="37" t="s">
        <v>201</v>
      </c>
      <c r="D204" s="131">
        <f>D205</f>
        <v>19</v>
      </c>
      <c r="E204" s="131"/>
      <c r="F204" s="131">
        <f t="shared" si="19"/>
        <v>19</v>
      </c>
      <c r="G204" s="131"/>
      <c r="H204" s="131">
        <f t="shared" si="19"/>
        <v>19</v>
      </c>
      <c r="I204" s="131">
        <f t="shared" si="19"/>
        <v>19.7</v>
      </c>
      <c r="J204" s="131"/>
      <c r="K204" s="131">
        <f t="shared" si="19"/>
        <v>19.7</v>
      </c>
      <c r="L204" s="131">
        <f t="shared" si="19"/>
        <v>20.5</v>
      </c>
      <c r="M204" s="131"/>
      <c r="N204" s="131">
        <f t="shared" si="19"/>
        <v>20.5</v>
      </c>
    </row>
    <row r="205" spans="1:23" ht="26.25" x14ac:dyDescent="0.25">
      <c r="A205" s="7" t="s">
        <v>202</v>
      </c>
      <c r="B205" s="7"/>
      <c r="C205" s="3" t="s">
        <v>203</v>
      </c>
      <c r="D205" s="130">
        <v>19</v>
      </c>
      <c r="E205" s="130"/>
      <c r="F205" s="130">
        <v>19</v>
      </c>
      <c r="G205" s="130"/>
      <c r="H205" s="130">
        <v>19</v>
      </c>
      <c r="I205" s="130">
        <v>19.7</v>
      </c>
      <c r="J205" s="130"/>
      <c r="K205" s="130">
        <v>19.7</v>
      </c>
      <c r="L205" s="130">
        <v>20.5</v>
      </c>
      <c r="M205" s="130"/>
      <c r="N205" s="130">
        <v>20.5</v>
      </c>
    </row>
    <row r="206" spans="1:23" ht="26.25" x14ac:dyDescent="0.25">
      <c r="A206" s="7"/>
      <c r="B206" s="7" t="s">
        <v>608</v>
      </c>
      <c r="C206" s="3" t="s">
        <v>609</v>
      </c>
      <c r="D206" s="130">
        <v>19</v>
      </c>
      <c r="E206" s="130"/>
      <c r="F206" s="130">
        <v>19</v>
      </c>
      <c r="G206" s="130"/>
      <c r="H206" s="130">
        <v>19</v>
      </c>
      <c r="I206" s="130">
        <v>19.7</v>
      </c>
      <c r="J206" s="130"/>
      <c r="K206" s="130">
        <v>19.7</v>
      </c>
      <c r="L206" s="130">
        <v>20.5</v>
      </c>
      <c r="M206" s="130"/>
      <c r="N206" s="130">
        <v>20.5</v>
      </c>
    </row>
    <row r="207" spans="1:23" ht="26.25" x14ac:dyDescent="0.25">
      <c r="A207" s="34" t="s">
        <v>204</v>
      </c>
      <c r="B207" s="34"/>
      <c r="C207" s="35" t="s">
        <v>205</v>
      </c>
      <c r="D207" s="139">
        <f>D208</f>
        <v>26.5</v>
      </c>
      <c r="E207" s="139"/>
      <c r="F207" s="139">
        <f>F208</f>
        <v>26.5</v>
      </c>
      <c r="G207" s="139"/>
      <c r="H207" s="139">
        <f>H208</f>
        <v>26.5</v>
      </c>
      <c r="I207" s="139">
        <f>I208</f>
        <v>27.6</v>
      </c>
      <c r="J207" s="139"/>
      <c r="K207" s="139">
        <f>K208</f>
        <v>27.6</v>
      </c>
      <c r="L207" s="139">
        <f>L208</f>
        <v>28.7</v>
      </c>
      <c r="M207" s="139"/>
      <c r="N207" s="139">
        <f>N208</f>
        <v>28.7</v>
      </c>
    </row>
    <row r="208" spans="1:23" ht="26.25" x14ac:dyDescent="0.25">
      <c r="A208" s="36" t="s">
        <v>206</v>
      </c>
      <c r="B208" s="36"/>
      <c r="C208" s="37" t="s">
        <v>207</v>
      </c>
      <c r="D208" s="131">
        <f>D209</f>
        <v>26.5</v>
      </c>
      <c r="E208" s="131"/>
      <c r="F208" s="131">
        <f>F209</f>
        <v>26.5</v>
      </c>
      <c r="G208" s="131"/>
      <c r="H208" s="131">
        <f>H209</f>
        <v>26.5</v>
      </c>
      <c r="I208" s="131">
        <f>I209</f>
        <v>27.6</v>
      </c>
      <c r="J208" s="131"/>
      <c r="K208" s="131">
        <f>K209</f>
        <v>27.6</v>
      </c>
      <c r="L208" s="131">
        <f>L209</f>
        <v>28.7</v>
      </c>
      <c r="M208" s="131"/>
      <c r="N208" s="131">
        <f>N209</f>
        <v>28.7</v>
      </c>
    </row>
    <row r="209" spans="1:14" ht="26.25" x14ac:dyDescent="0.25">
      <c r="A209" s="7" t="s">
        <v>208</v>
      </c>
      <c r="B209" s="7"/>
      <c r="C209" s="3" t="s">
        <v>209</v>
      </c>
      <c r="D209" s="146">
        <v>26.5</v>
      </c>
      <c r="E209" s="146"/>
      <c r="F209" s="146">
        <v>26.5</v>
      </c>
      <c r="G209" s="146"/>
      <c r="H209" s="146">
        <v>26.5</v>
      </c>
      <c r="I209" s="146">
        <v>27.6</v>
      </c>
      <c r="J209" s="146"/>
      <c r="K209" s="146">
        <v>27.6</v>
      </c>
      <c r="L209" s="146">
        <v>28.7</v>
      </c>
      <c r="M209" s="146"/>
      <c r="N209" s="146">
        <v>28.7</v>
      </c>
    </row>
    <row r="210" spans="1:14" ht="26.25" x14ac:dyDescent="0.25">
      <c r="A210" s="7"/>
      <c r="B210" s="7" t="s">
        <v>608</v>
      </c>
      <c r="C210" s="3" t="s">
        <v>609</v>
      </c>
      <c r="D210" s="146">
        <v>26.5</v>
      </c>
      <c r="E210" s="146"/>
      <c r="F210" s="146">
        <v>26.5</v>
      </c>
      <c r="G210" s="146"/>
      <c r="H210" s="146">
        <v>26.5</v>
      </c>
      <c r="I210" s="146">
        <v>27.6</v>
      </c>
      <c r="J210" s="146"/>
      <c r="K210" s="146">
        <v>27.6</v>
      </c>
      <c r="L210" s="146">
        <v>28.7</v>
      </c>
      <c r="M210" s="146"/>
      <c r="N210" s="146">
        <v>28.7</v>
      </c>
    </row>
    <row r="211" spans="1:14" x14ac:dyDescent="0.25">
      <c r="A211" s="34" t="s">
        <v>554</v>
      </c>
      <c r="B211" s="34"/>
      <c r="C211" s="35" t="s">
        <v>210</v>
      </c>
      <c r="D211" s="139">
        <f>D212</f>
        <v>60</v>
      </c>
      <c r="E211" s="139"/>
      <c r="F211" s="139">
        <f>F212</f>
        <v>60</v>
      </c>
      <c r="G211" s="139"/>
      <c r="H211" s="139">
        <f>H212</f>
        <v>60</v>
      </c>
      <c r="I211" s="139">
        <f>I212</f>
        <v>62.4</v>
      </c>
      <c r="J211" s="139"/>
      <c r="K211" s="139">
        <f>K212</f>
        <v>62.4</v>
      </c>
      <c r="L211" s="139">
        <f>L212</f>
        <v>64.900000000000006</v>
      </c>
      <c r="M211" s="139"/>
      <c r="N211" s="139">
        <f>N212</f>
        <v>64.900000000000006</v>
      </c>
    </row>
    <row r="212" spans="1:14" ht="26.25" x14ac:dyDescent="0.25">
      <c r="A212" s="36" t="s">
        <v>555</v>
      </c>
      <c r="B212" s="36"/>
      <c r="C212" s="37" t="s">
        <v>211</v>
      </c>
      <c r="D212" s="131">
        <f>D213</f>
        <v>60</v>
      </c>
      <c r="E212" s="131"/>
      <c r="F212" s="131">
        <f>F213</f>
        <v>60</v>
      </c>
      <c r="G212" s="131"/>
      <c r="H212" s="131">
        <f>H213</f>
        <v>60</v>
      </c>
      <c r="I212" s="131">
        <f>I213</f>
        <v>62.4</v>
      </c>
      <c r="J212" s="131"/>
      <c r="K212" s="131">
        <f>K213</f>
        <v>62.4</v>
      </c>
      <c r="L212" s="131">
        <f>L213</f>
        <v>64.900000000000006</v>
      </c>
      <c r="M212" s="131"/>
      <c r="N212" s="131">
        <f>N213</f>
        <v>64.900000000000006</v>
      </c>
    </row>
    <row r="213" spans="1:14" ht="26.25" x14ac:dyDescent="0.25">
      <c r="A213" s="7" t="s">
        <v>758</v>
      </c>
      <c r="B213" s="7"/>
      <c r="C213" s="3" t="s">
        <v>212</v>
      </c>
      <c r="D213" s="130">
        <v>60</v>
      </c>
      <c r="E213" s="130"/>
      <c r="F213" s="130">
        <v>60</v>
      </c>
      <c r="G213" s="130"/>
      <c r="H213" s="130">
        <v>60</v>
      </c>
      <c r="I213" s="130">
        <v>62.4</v>
      </c>
      <c r="J213" s="130"/>
      <c r="K213" s="130">
        <v>62.4</v>
      </c>
      <c r="L213" s="130">
        <v>64.900000000000006</v>
      </c>
      <c r="M213" s="130"/>
      <c r="N213" s="130">
        <v>64.900000000000006</v>
      </c>
    </row>
    <row r="214" spans="1:14" ht="26.25" x14ac:dyDescent="0.25">
      <c r="A214" s="7"/>
      <c r="B214" s="7" t="s">
        <v>608</v>
      </c>
      <c r="C214" s="3" t="s">
        <v>609</v>
      </c>
      <c r="D214" s="130">
        <v>60</v>
      </c>
      <c r="E214" s="130"/>
      <c r="F214" s="130">
        <v>60</v>
      </c>
      <c r="G214" s="130"/>
      <c r="H214" s="130">
        <v>60</v>
      </c>
      <c r="I214" s="130">
        <v>62.4</v>
      </c>
      <c r="J214" s="130"/>
      <c r="K214" s="130">
        <v>62.4</v>
      </c>
      <c r="L214" s="130">
        <v>64.900000000000006</v>
      </c>
      <c r="M214" s="130"/>
      <c r="N214" s="130">
        <v>64.900000000000006</v>
      </c>
    </row>
    <row r="215" spans="1:14" ht="26.25" x14ac:dyDescent="0.25">
      <c r="A215" s="32" t="s">
        <v>213</v>
      </c>
      <c r="B215" s="32"/>
      <c r="C215" s="40" t="s">
        <v>214</v>
      </c>
      <c r="D215" s="132">
        <f t="shared" ref="D215:I215" si="20">D216+D224+D227+D235</f>
        <v>15424.11</v>
      </c>
      <c r="E215" s="132">
        <f t="shared" si="20"/>
        <v>-60.6</v>
      </c>
      <c r="F215" s="132">
        <f t="shared" si="20"/>
        <v>15053.184000000001</v>
      </c>
      <c r="G215" s="132"/>
      <c r="H215" s="132">
        <f t="shared" si="20"/>
        <v>15053.184000000001</v>
      </c>
      <c r="I215" s="132">
        <f t="shared" si="20"/>
        <v>10330.941999999999</v>
      </c>
      <c r="J215" s="132"/>
      <c r="K215" s="132">
        <f>K216+K224+K227+K235</f>
        <v>10330.941999999999</v>
      </c>
      <c r="L215" s="132">
        <f>L216+L224+L227+L235</f>
        <v>13337.583999999999</v>
      </c>
      <c r="M215" s="132"/>
      <c r="N215" s="132">
        <f>N216+N224+N227+N235</f>
        <v>13337.583999999999</v>
      </c>
    </row>
    <row r="216" spans="1:14" x14ac:dyDescent="0.25">
      <c r="A216" s="36" t="s">
        <v>215</v>
      </c>
      <c r="B216" s="36"/>
      <c r="C216" s="37" t="s">
        <v>216</v>
      </c>
      <c r="D216" s="131">
        <f t="shared" ref="D216:I216" si="21">D219+D217</f>
        <v>10702.81</v>
      </c>
      <c r="E216" s="131">
        <f t="shared" si="21"/>
        <v>-60.6</v>
      </c>
      <c r="F216" s="131">
        <f t="shared" si="21"/>
        <v>10331.884</v>
      </c>
      <c r="G216" s="131"/>
      <c r="H216" s="131">
        <f t="shared" si="21"/>
        <v>10331.884</v>
      </c>
      <c r="I216" s="131">
        <f t="shared" si="21"/>
        <v>7398.1419999999998</v>
      </c>
      <c r="J216" s="131"/>
      <c r="K216" s="131">
        <f>K219+K217</f>
        <v>7398.1419999999998</v>
      </c>
      <c r="L216" s="131">
        <f>L219+L217</f>
        <v>7603.884</v>
      </c>
      <c r="M216" s="131"/>
      <c r="N216" s="131">
        <f>N219+N217</f>
        <v>7603.884</v>
      </c>
    </row>
    <row r="217" spans="1:14" x14ac:dyDescent="0.25">
      <c r="A217" s="7" t="s">
        <v>217</v>
      </c>
      <c r="B217" s="7"/>
      <c r="C217" s="3" t="s">
        <v>218</v>
      </c>
      <c r="D217" s="130">
        <f>D218</f>
        <v>8942.81</v>
      </c>
      <c r="E217" s="130"/>
      <c r="F217" s="130">
        <f>F218</f>
        <v>8942.81</v>
      </c>
      <c r="G217" s="130"/>
      <c r="H217" s="130">
        <f>H218</f>
        <v>8942.81</v>
      </c>
      <c r="I217" s="130">
        <f>I218</f>
        <v>7398.1419999999998</v>
      </c>
      <c r="J217" s="130"/>
      <c r="K217" s="130">
        <f>K218</f>
        <v>7398.1419999999998</v>
      </c>
      <c r="L217" s="130">
        <f>L218</f>
        <v>7603.884</v>
      </c>
      <c r="M217" s="130"/>
      <c r="N217" s="130">
        <f>N218</f>
        <v>7603.884</v>
      </c>
    </row>
    <row r="218" spans="1:14" x14ac:dyDescent="0.25">
      <c r="A218" s="7"/>
      <c r="B218" s="7" t="s">
        <v>534</v>
      </c>
      <c r="C218" s="3" t="s">
        <v>535</v>
      </c>
      <c r="D218" s="146">
        <v>8942.81</v>
      </c>
      <c r="E218" s="146"/>
      <c r="F218" s="146">
        <v>8942.81</v>
      </c>
      <c r="G218" s="146"/>
      <c r="H218" s="146">
        <v>8942.81</v>
      </c>
      <c r="I218" s="146">
        <v>7398.1419999999998</v>
      </c>
      <c r="J218" s="146"/>
      <c r="K218" s="146">
        <v>7398.1419999999998</v>
      </c>
      <c r="L218" s="146">
        <v>7603.884</v>
      </c>
      <c r="M218" s="146"/>
      <c r="N218" s="146">
        <v>7603.884</v>
      </c>
    </row>
    <row r="219" spans="1:14" ht="51.75" x14ac:dyDescent="0.25">
      <c r="A219" s="7" t="s">
        <v>220</v>
      </c>
      <c r="B219" s="7"/>
      <c r="C219" s="3" t="s">
        <v>221</v>
      </c>
      <c r="D219" s="130">
        <v>1760</v>
      </c>
      <c r="E219" s="146">
        <f>E220</f>
        <v>-60.6</v>
      </c>
      <c r="F219" s="130">
        <f>SUM(F220)</f>
        <v>1389.0740000000001</v>
      </c>
      <c r="G219" s="130"/>
      <c r="H219" s="130">
        <f>SUM(H220)</f>
        <v>1389.0740000000001</v>
      </c>
      <c r="I219" s="130">
        <v>0</v>
      </c>
      <c r="J219" s="130"/>
      <c r="K219" s="130">
        <v>0</v>
      </c>
      <c r="L219" s="130">
        <v>0</v>
      </c>
      <c r="M219" s="130"/>
      <c r="N219" s="130">
        <v>0</v>
      </c>
    </row>
    <row r="220" spans="1:14" x14ac:dyDescent="0.25">
      <c r="A220" s="7"/>
      <c r="B220" s="7" t="s">
        <v>534</v>
      </c>
      <c r="C220" s="3" t="s">
        <v>535</v>
      </c>
      <c r="D220" s="130">
        <v>1760</v>
      </c>
      <c r="E220" s="146">
        <f>E223</f>
        <v>-60.6</v>
      </c>
      <c r="F220" s="130">
        <v>1389.0740000000001</v>
      </c>
      <c r="G220" s="130"/>
      <c r="H220" s="130">
        <f>SUM(F220:G220)</f>
        <v>1389.0740000000001</v>
      </c>
      <c r="I220" s="130">
        <v>0</v>
      </c>
      <c r="J220" s="130"/>
      <c r="K220" s="130">
        <v>0</v>
      </c>
      <c r="L220" s="130">
        <v>0</v>
      </c>
      <c r="M220" s="130"/>
      <c r="N220" s="130">
        <v>0</v>
      </c>
    </row>
    <row r="221" spans="1:14" x14ac:dyDescent="0.25">
      <c r="A221" s="7"/>
      <c r="B221" s="7"/>
      <c r="C221" s="3" t="s">
        <v>222</v>
      </c>
      <c r="D221" s="130"/>
      <c r="E221" s="146"/>
      <c r="F221" s="130"/>
      <c r="G221" s="130"/>
      <c r="H221" s="130"/>
      <c r="I221" s="130"/>
      <c r="J221" s="130"/>
      <c r="K221" s="130"/>
      <c r="L221" s="130"/>
      <c r="M221" s="130"/>
      <c r="N221" s="130"/>
    </row>
    <row r="222" spans="1:14" x14ac:dyDescent="0.25">
      <c r="A222" s="7"/>
      <c r="B222" s="7"/>
      <c r="C222" s="3" t="s">
        <v>219</v>
      </c>
      <c r="D222" s="130"/>
      <c r="E222" s="146"/>
      <c r="F222" s="130"/>
      <c r="G222" s="130"/>
      <c r="H222" s="130"/>
      <c r="I222" s="130"/>
      <c r="J222" s="130"/>
      <c r="K222" s="130"/>
      <c r="L222" s="130"/>
      <c r="M222" s="130"/>
      <c r="N222" s="130"/>
    </row>
    <row r="223" spans="1:14" x14ac:dyDescent="0.25">
      <c r="A223" s="7"/>
      <c r="B223" s="7"/>
      <c r="C223" s="3" t="s">
        <v>171</v>
      </c>
      <c r="D223" s="130">
        <v>1760</v>
      </c>
      <c r="E223" s="146">
        <v>-60.6</v>
      </c>
      <c r="F223" s="130">
        <v>1389.0740000000001</v>
      </c>
      <c r="G223" s="146"/>
      <c r="H223" s="130">
        <v>0</v>
      </c>
      <c r="I223" s="130">
        <v>0</v>
      </c>
      <c r="J223" s="130"/>
      <c r="K223" s="130">
        <v>0</v>
      </c>
      <c r="L223" s="130">
        <v>0</v>
      </c>
      <c r="M223" s="130"/>
      <c r="N223" s="130">
        <v>0</v>
      </c>
    </row>
    <row r="224" spans="1:14" ht="26.25" x14ac:dyDescent="0.25">
      <c r="A224" s="36" t="s">
        <v>223</v>
      </c>
      <c r="B224" s="36"/>
      <c r="C224" s="37" t="s">
        <v>224</v>
      </c>
      <c r="D224" s="131">
        <f>D225</f>
        <v>1735</v>
      </c>
      <c r="E224" s="131"/>
      <c r="F224" s="131">
        <f>F225</f>
        <v>1735</v>
      </c>
      <c r="G224" s="131"/>
      <c r="H224" s="131">
        <f>H225</f>
        <v>1735</v>
      </c>
      <c r="I224" s="131">
        <f>I225</f>
        <v>0</v>
      </c>
      <c r="J224" s="131"/>
      <c r="K224" s="131">
        <f>K225</f>
        <v>0</v>
      </c>
      <c r="L224" s="131">
        <f>L225</f>
        <v>0</v>
      </c>
      <c r="M224" s="131"/>
      <c r="N224" s="131">
        <f>N225</f>
        <v>0</v>
      </c>
    </row>
    <row r="225" spans="1:14" ht="39" x14ac:dyDescent="0.25">
      <c r="A225" s="7" t="s">
        <v>225</v>
      </c>
      <c r="B225" s="7"/>
      <c r="C225" s="3" t="s">
        <v>226</v>
      </c>
      <c r="D225" s="130">
        <v>1735</v>
      </c>
      <c r="E225" s="130"/>
      <c r="F225" s="130">
        <v>1735</v>
      </c>
      <c r="G225" s="130"/>
      <c r="H225" s="130">
        <v>1735</v>
      </c>
      <c r="I225" s="130">
        <v>0</v>
      </c>
      <c r="J225" s="130"/>
      <c r="K225" s="130">
        <v>0</v>
      </c>
      <c r="L225" s="130">
        <v>0</v>
      </c>
      <c r="M225" s="130"/>
      <c r="N225" s="130">
        <v>0</v>
      </c>
    </row>
    <row r="226" spans="1:14" x14ac:dyDescent="0.25">
      <c r="A226" s="7"/>
      <c r="B226" s="7" t="s">
        <v>534</v>
      </c>
      <c r="C226" s="3" t="s">
        <v>535</v>
      </c>
      <c r="D226" s="130">
        <v>1735</v>
      </c>
      <c r="E226" s="130"/>
      <c r="F226" s="130">
        <v>1735</v>
      </c>
      <c r="G226" s="130"/>
      <c r="H226" s="130">
        <v>1735</v>
      </c>
      <c r="I226" s="130">
        <v>0</v>
      </c>
      <c r="J226" s="130"/>
      <c r="K226" s="130">
        <v>0</v>
      </c>
      <c r="L226" s="130">
        <v>0</v>
      </c>
      <c r="M226" s="130"/>
      <c r="N226" s="130">
        <v>0</v>
      </c>
    </row>
    <row r="227" spans="1:14" ht="39" x14ac:dyDescent="0.25">
      <c r="A227" s="36" t="s">
        <v>227</v>
      </c>
      <c r="B227" s="36"/>
      <c r="C227" s="37" t="s">
        <v>228</v>
      </c>
      <c r="D227" s="131">
        <f>D228+D230+D232</f>
        <v>2922.1</v>
      </c>
      <c r="E227" s="131"/>
      <c r="F227" s="131">
        <f>F228+F230+F232</f>
        <v>2922.1</v>
      </c>
      <c r="G227" s="131"/>
      <c r="H227" s="131">
        <f>H228+H230+H232</f>
        <v>2922.1</v>
      </c>
      <c r="I227" s="131">
        <f>I228+I230+I232</f>
        <v>2932.8</v>
      </c>
      <c r="J227" s="131"/>
      <c r="K227" s="131">
        <f>K228+K230+K232</f>
        <v>2932.8</v>
      </c>
      <c r="L227" s="131">
        <f>L228+L230+L232</f>
        <v>5733.7</v>
      </c>
      <c r="M227" s="131"/>
      <c r="N227" s="131">
        <f>N228+N230+N232</f>
        <v>5733.7</v>
      </c>
    </row>
    <row r="228" spans="1:14" ht="39" x14ac:dyDescent="0.25">
      <c r="A228" s="7" t="s">
        <v>229</v>
      </c>
      <c r="B228" s="7"/>
      <c r="C228" s="3" t="s">
        <v>230</v>
      </c>
      <c r="D228" s="130">
        <v>95.1</v>
      </c>
      <c r="E228" s="130"/>
      <c r="F228" s="130">
        <v>95.1</v>
      </c>
      <c r="G228" s="130"/>
      <c r="H228" s="130">
        <v>95.1</v>
      </c>
      <c r="I228" s="130">
        <v>103</v>
      </c>
      <c r="J228" s="130"/>
      <c r="K228" s="130">
        <v>103</v>
      </c>
      <c r="L228" s="130">
        <v>143</v>
      </c>
      <c r="M228" s="130"/>
      <c r="N228" s="130">
        <v>143</v>
      </c>
    </row>
    <row r="229" spans="1:14" ht="26.25" x14ac:dyDescent="0.25">
      <c r="A229" s="7"/>
      <c r="B229" s="7" t="s">
        <v>336</v>
      </c>
      <c r="C229" s="3" t="s">
        <v>337</v>
      </c>
      <c r="D229" s="130">
        <v>95.1</v>
      </c>
      <c r="E229" s="130"/>
      <c r="F229" s="130">
        <v>95.1</v>
      </c>
      <c r="G229" s="130"/>
      <c r="H229" s="130">
        <v>95.1</v>
      </c>
      <c r="I229" s="130">
        <v>103</v>
      </c>
      <c r="J229" s="130"/>
      <c r="K229" s="130">
        <v>103</v>
      </c>
      <c r="L229" s="130">
        <v>143</v>
      </c>
      <c r="M229" s="130"/>
      <c r="N229" s="130">
        <v>143</v>
      </c>
    </row>
    <row r="230" spans="1:14" ht="64.5" x14ac:dyDescent="0.25">
      <c r="A230" s="7" t="s">
        <v>231</v>
      </c>
      <c r="B230" s="7"/>
      <c r="C230" s="53" t="s">
        <v>232</v>
      </c>
      <c r="D230" s="130">
        <v>2760.9</v>
      </c>
      <c r="E230" s="130"/>
      <c r="F230" s="130">
        <v>2760.9</v>
      </c>
      <c r="G230" s="130"/>
      <c r="H230" s="130">
        <v>2760.9</v>
      </c>
      <c r="I230" s="130">
        <v>2760.9</v>
      </c>
      <c r="J230" s="130"/>
      <c r="K230" s="130">
        <v>2760.9</v>
      </c>
      <c r="L230" s="130">
        <v>5521.8</v>
      </c>
      <c r="M230" s="130"/>
      <c r="N230" s="130">
        <v>5521.8</v>
      </c>
    </row>
    <row r="231" spans="1:14" ht="26.25" x14ac:dyDescent="0.25">
      <c r="A231" s="7"/>
      <c r="B231" s="24" t="s">
        <v>362</v>
      </c>
      <c r="C231" s="3" t="s">
        <v>363</v>
      </c>
      <c r="D231" s="130">
        <v>2760.9</v>
      </c>
      <c r="E231" s="130"/>
      <c r="F231" s="130">
        <v>2760.9</v>
      </c>
      <c r="G231" s="130"/>
      <c r="H231" s="130">
        <v>2760.9</v>
      </c>
      <c r="I231" s="130">
        <v>2760.9</v>
      </c>
      <c r="J231" s="130"/>
      <c r="K231" s="130">
        <v>2760.9</v>
      </c>
      <c r="L231" s="130">
        <v>5521.8</v>
      </c>
      <c r="M231" s="130"/>
      <c r="N231" s="130">
        <v>5521.8</v>
      </c>
    </row>
    <row r="232" spans="1:14" ht="51" x14ac:dyDescent="0.25">
      <c r="A232" s="7" t="s">
        <v>233</v>
      </c>
      <c r="B232" s="7"/>
      <c r="C232" s="1" t="s">
        <v>234</v>
      </c>
      <c r="D232" s="130">
        <v>66.099999999999994</v>
      </c>
      <c r="E232" s="130"/>
      <c r="F232" s="130">
        <v>66.099999999999994</v>
      </c>
      <c r="G232" s="130"/>
      <c r="H232" s="130">
        <v>66.099999999999994</v>
      </c>
      <c r="I232" s="130">
        <v>68.900000000000006</v>
      </c>
      <c r="J232" s="130"/>
      <c r="K232" s="130">
        <v>68.900000000000006</v>
      </c>
      <c r="L232" s="130">
        <v>68.900000000000006</v>
      </c>
      <c r="M232" s="130"/>
      <c r="N232" s="130">
        <v>68.900000000000006</v>
      </c>
    </row>
    <row r="233" spans="1:14" ht="51.75" x14ac:dyDescent="0.25">
      <c r="A233" s="7"/>
      <c r="B233" s="7" t="s">
        <v>505</v>
      </c>
      <c r="C233" s="3" t="s">
        <v>506</v>
      </c>
      <c r="D233" s="130">
        <v>47.8</v>
      </c>
      <c r="E233" s="130"/>
      <c r="F233" s="130">
        <v>47.8</v>
      </c>
      <c r="G233" s="130"/>
      <c r="H233" s="130">
        <v>47.8</v>
      </c>
      <c r="I233" s="130">
        <v>47.8</v>
      </c>
      <c r="J233" s="130"/>
      <c r="K233" s="130">
        <v>47.8</v>
      </c>
      <c r="L233" s="130">
        <v>47.8</v>
      </c>
      <c r="M233" s="130"/>
      <c r="N233" s="130">
        <v>47.8</v>
      </c>
    </row>
    <row r="234" spans="1:14" ht="26.25" x14ac:dyDescent="0.25">
      <c r="A234" s="7"/>
      <c r="B234" s="7" t="s">
        <v>336</v>
      </c>
      <c r="C234" s="3" t="s">
        <v>337</v>
      </c>
      <c r="D234" s="130">
        <v>18.3</v>
      </c>
      <c r="E234" s="130"/>
      <c r="F234" s="130">
        <v>18.3</v>
      </c>
      <c r="G234" s="130"/>
      <c r="H234" s="130">
        <v>18.3</v>
      </c>
      <c r="I234" s="130">
        <v>21.1</v>
      </c>
      <c r="J234" s="130"/>
      <c r="K234" s="130">
        <v>21.1</v>
      </c>
      <c r="L234" s="130">
        <v>21.1</v>
      </c>
      <c r="M234" s="130"/>
      <c r="N234" s="130">
        <v>21.1</v>
      </c>
    </row>
    <row r="235" spans="1:14" ht="39" x14ac:dyDescent="0.25">
      <c r="A235" s="36" t="s">
        <v>235</v>
      </c>
      <c r="B235" s="36"/>
      <c r="C235" s="37" t="s">
        <v>756</v>
      </c>
      <c r="D235" s="131">
        <f>D236</f>
        <v>64.2</v>
      </c>
      <c r="E235" s="131"/>
      <c r="F235" s="131">
        <f>F236</f>
        <v>64.2</v>
      </c>
      <c r="G235" s="131"/>
      <c r="H235" s="131">
        <f>H236</f>
        <v>64.2</v>
      </c>
      <c r="I235" s="131">
        <f>I236</f>
        <v>0</v>
      </c>
      <c r="J235" s="131"/>
      <c r="K235" s="131">
        <f>K236</f>
        <v>0</v>
      </c>
      <c r="L235" s="131">
        <f>L236</f>
        <v>0</v>
      </c>
      <c r="M235" s="131"/>
      <c r="N235" s="131">
        <f>N236</f>
        <v>0</v>
      </c>
    </row>
    <row r="236" spans="1:14" s="44" customFormat="1" ht="26.25" x14ac:dyDescent="0.25">
      <c r="A236" s="7" t="s">
        <v>236</v>
      </c>
      <c r="B236" s="13"/>
      <c r="C236" s="3" t="s">
        <v>755</v>
      </c>
      <c r="D236" s="130">
        <v>64.2</v>
      </c>
      <c r="E236" s="130"/>
      <c r="F236" s="130">
        <v>64.2</v>
      </c>
      <c r="G236" s="130"/>
      <c r="H236" s="130">
        <v>64.2</v>
      </c>
      <c r="I236" s="130">
        <v>0</v>
      </c>
      <c r="J236" s="130"/>
      <c r="K236" s="130">
        <v>0</v>
      </c>
      <c r="L236" s="130">
        <v>0</v>
      </c>
      <c r="M236" s="130"/>
      <c r="N236" s="130">
        <v>0</v>
      </c>
    </row>
    <row r="237" spans="1:14" s="44" customFormat="1" ht="26.25" x14ac:dyDescent="0.25">
      <c r="A237" s="7"/>
      <c r="B237" s="7" t="s">
        <v>336</v>
      </c>
      <c r="C237" s="3" t="s">
        <v>337</v>
      </c>
      <c r="D237" s="130">
        <v>64.2</v>
      </c>
      <c r="E237" s="130"/>
      <c r="F237" s="130">
        <v>64.2</v>
      </c>
      <c r="G237" s="130"/>
      <c r="H237" s="130">
        <v>64.2</v>
      </c>
      <c r="I237" s="130">
        <v>0</v>
      </c>
      <c r="J237" s="130"/>
      <c r="K237" s="130">
        <v>0</v>
      </c>
      <c r="L237" s="130">
        <v>0</v>
      </c>
      <c r="M237" s="130"/>
      <c r="N237" s="130">
        <v>0</v>
      </c>
    </row>
    <row r="238" spans="1:14" s="54" customFormat="1" ht="26.25" x14ac:dyDescent="0.25">
      <c r="A238" s="32" t="s">
        <v>237</v>
      </c>
      <c r="B238" s="32"/>
      <c r="C238" s="40" t="s">
        <v>238</v>
      </c>
      <c r="D238" s="132">
        <f t="shared" ref="D238:M238" si="22">D239</f>
        <v>3432.4999999999995</v>
      </c>
      <c r="E238" s="132">
        <f t="shared" si="22"/>
        <v>939.5</v>
      </c>
      <c r="F238" s="132">
        <f t="shared" si="22"/>
        <v>3644.3</v>
      </c>
      <c r="G238" s="132">
        <f t="shared" si="22"/>
        <v>0</v>
      </c>
      <c r="H238" s="132">
        <f t="shared" si="22"/>
        <v>3644.3</v>
      </c>
      <c r="I238" s="132">
        <f t="shared" si="22"/>
        <v>2092.2015499999998</v>
      </c>
      <c r="J238" s="132">
        <f t="shared" si="22"/>
        <v>0</v>
      </c>
      <c r="K238" s="132">
        <f t="shared" si="22"/>
        <v>2092.2015499999998</v>
      </c>
      <c r="L238" s="132">
        <f t="shared" si="22"/>
        <v>2931.16</v>
      </c>
      <c r="M238" s="132">
        <f t="shared" si="22"/>
        <v>0</v>
      </c>
      <c r="N238" s="132">
        <f>N239</f>
        <v>2931.16</v>
      </c>
    </row>
    <row r="239" spans="1:14" ht="74.25" customHeight="1" x14ac:dyDescent="0.25">
      <c r="A239" s="36" t="s">
        <v>239</v>
      </c>
      <c r="B239" s="36"/>
      <c r="C239" s="37" t="s">
        <v>838</v>
      </c>
      <c r="D239" s="131">
        <f>D240+D243+D245+D248+D252+D250</f>
        <v>3432.4999999999995</v>
      </c>
      <c r="E239" s="131">
        <f>E240+E243+E245+E248+E252+E250</f>
        <v>939.5</v>
      </c>
      <c r="F239" s="131">
        <f>F240+F243+F245+F248+F252+F250+F254</f>
        <v>3644.3</v>
      </c>
      <c r="G239" s="131">
        <f t="shared" ref="G239:M239" si="23">G240+G243+G245+G248+G252+G250+G254</f>
        <v>0</v>
      </c>
      <c r="H239" s="131">
        <f t="shared" si="23"/>
        <v>3644.3</v>
      </c>
      <c r="I239" s="131">
        <f t="shared" si="23"/>
        <v>2092.2015499999998</v>
      </c>
      <c r="J239" s="131">
        <f t="shared" si="23"/>
        <v>0</v>
      </c>
      <c r="K239" s="131">
        <f t="shared" si="23"/>
        <v>2092.2015499999998</v>
      </c>
      <c r="L239" s="131">
        <f>L240+L243+L245+L248+L252+L250+L254</f>
        <v>2931.16</v>
      </c>
      <c r="M239" s="131">
        <f t="shared" si="23"/>
        <v>0</v>
      </c>
      <c r="N239" s="131">
        <f>N240+N243+N245+N248+N252+N250+N254</f>
        <v>2931.16</v>
      </c>
    </row>
    <row r="240" spans="1:14" ht="25.5" x14ac:dyDescent="0.25">
      <c r="A240" s="7" t="s">
        <v>241</v>
      </c>
      <c r="B240" s="7"/>
      <c r="C240" s="25" t="s">
        <v>556</v>
      </c>
      <c r="D240" s="130">
        <v>946.2</v>
      </c>
      <c r="E240" s="130"/>
      <c r="F240" s="130">
        <v>946.2</v>
      </c>
      <c r="G240" s="130"/>
      <c r="H240" s="130">
        <v>946.2</v>
      </c>
      <c r="I240" s="130">
        <v>984</v>
      </c>
      <c r="J240" s="130"/>
      <c r="K240" s="130">
        <v>984</v>
      </c>
      <c r="L240" s="130">
        <v>1023.4</v>
      </c>
      <c r="M240" s="130"/>
      <c r="N240" s="130">
        <v>1023.4</v>
      </c>
    </row>
    <row r="241" spans="1:14" ht="26.25" x14ac:dyDescent="0.25">
      <c r="A241" s="7"/>
      <c r="B241" s="7" t="s">
        <v>336</v>
      </c>
      <c r="C241" s="3" t="s">
        <v>337</v>
      </c>
      <c r="D241" s="130">
        <v>897.7</v>
      </c>
      <c r="E241" s="130"/>
      <c r="F241" s="130">
        <v>897.7</v>
      </c>
      <c r="G241" s="130"/>
      <c r="H241" s="130">
        <v>897.7</v>
      </c>
      <c r="I241" s="130">
        <v>984</v>
      </c>
      <c r="J241" s="130"/>
      <c r="K241" s="130">
        <v>984</v>
      </c>
      <c r="L241" s="130">
        <v>1023.4</v>
      </c>
      <c r="M241" s="130"/>
      <c r="N241" s="130">
        <v>1023.4</v>
      </c>
    </row>
    <row r="242" spans="1:14" x14ac:dyDescent="0.25">
      <c r="A242" s="7"/>
      <c r="B242" s="7" t="s">
        <v>513</v>
      </c>
      <c r="C242" s="3" t="s">
        <v>514</v>
      </c>
      <c r="D242" s="130">
        <v>48.5</v>
      </c>
      <c r="E242" s="130"/>
      <c r="F242" s="130">
        <v>48.5</v>
      </c>
      <c r="G242" s="130"/>
      <c r="H242" s="130">
        <v>48.5</v>
      </c>
      <c r="I242" s="130">
        <v>0</v>
      </c>
      <c r="J242" s="130"/>
      <c r="K242" s="130">
        <v>0</v>
      </c>
      <c r="L242" s="130">
        <v>0</v>
      </c>
      <c r="M242" s="130"/>
      <c r="N242" s="130">
        <v>0</v>
      </c>
    </row>
    <row r="243" spans="1:14" ht="39" x14ac:dyDescent="0.25">
      <c r="A243" s="7" t="s">
        <v>242</v>
      </c>
      <c r="B243" s="7"/>
      <c r="C243" s="14" t="s">
        <v>243</v>
      </c>
      <c r="D243" s="130">
        <v>129.69999999999999</v>
      </c>
      <c r="E243" s="130"/>
      <c r="F243" s="130">
        <v>129.69999999999999</v>
      </c>
      <c r="G243" s="130"/>
      <c r="H243" s="130">
        <v>129.69999999999999</v>
      </c>
      <c r="I243" s="130">
        <v>134.9</v>
      </c>
      <c r="J243" s="130"/>
      <c r="K243" s="130">
        <v>134.9</v>
      </c>
      <c r="L243" s="130">
        <v>140.26</v>
      </c>
      <c r="M243" s="130"/>
      <c r="N243" s="130">
        <v>140.26</v>
      </c>
    </row>
    <row r="244" spans="1:14" ht="26.25" x14ac:dyDescent="0.25">
      <c r="A244" s="7"/>
      <c r="B244" s="7" t="s">
        <v>336</v>
      </c>
      <c r="C244" s="3" t="s">
        <v>337</v>
      </c>
      <c r="D244" s="130">
        <v>129.69999999999999</v>
      </c>
      <c r="E244" s="130"/>
      <c r="F244" s="130">
        <v>129.69999999999999</v>
      </c>
      <c r="G244" s="130"/>
      <c r="H244" s="130">
        <v>129.69999999999999</v>
      </c>
      <c r="I244" s="130">
        <v>134.9</v>
      </c>
      <c r="J244" s="130"/>
      <c r="K244" s="130">
        <v>134.9</v>
      </c>
      <c r="L244" s="130">
        <v>140.26</v>
      </c>
      <c r="M244" s="130"/>
      <c r="N244" s="130">
        <v>140.26</v>
      </c>
    </row>
    <row r="245" spans="1:14" ht="26.25" x14ac:dyDescent="0.25">
      <c r="A245" s="7" t="s">
        <v>244</v>
      </c>
      <c r="B245" s="7"/>
      <c r="C245" s="14" t="s">
        <v>245</v>
      </c>
      <c r="D245" s="130">
        <f>3249-1684.2</f>
        <v>1564.8</v>
      </c>
      <c r="E245" s="146">
        <f>E246</f>
        <v>627.5</v>
      </c>
      <c r="F245" s="130">
        <f>SUM(F247+F246)</f>
        <v>2192.3000000000002</v>
      </c>
      <c r="G245" s="130"/>
      <c r="H245" s="130">
        <f>SUM(H247+H246)</f>
        <v>2192.3000000000002</v>
      </c>
      <c r="I245" s="130">
        <v>876</v>
      </c>
      <c r="J245" s="130"/>
      <c r="K245" s="130">
        <v>876</v>
      </c>
      <c r="L245" s="130">
        <v>911.1</v>
      </c>
      <c r="M245" s="130"/>
      <c r="N245" s="130">
        <v>911.1</v>
      </c>
    </row>
    <row r="246" spans="1:14" ht="26.25" x14ac:dyDescent="0.25">
      <c r="A246" s="7"/>
      <c r="B246" s="7" t="s">
        <v>336</v>
      </c>
      <c r="C246" s="3" t="s">
        <v>337</v>
      </c>
      <c r="D246" s="130">
        <v>1123</v>
      </c>
      <c r="E246" s="146">
        <v>627.5</v>
      </c>
      <c r="F246" s="130">
        <f>SUM(D246:E246)</f>
        <v>1750.5</v>
      </c>
      <c r="G246" s="130"/>
      <c r="H246" s="130">
        <f>SUM(F246:G246)</f>
        <v>1750.5</v>
      </c>
      <c r="I246" s="130">
        <v>876</v>
      </c>
      <c r="J246" s="130"/>
      <c r="K246" s="130">
        <v>876</v>
      </c>
      <c r="L246" s="130">
        <v>911.1</v>
      </c>
      <c r="M246" s="130"/>
      <c r="N246" s="130">
        <v>911.1</v>
      </c>
    </row>
    <row r="247" spans="1:14" x14ac:dyDescent="0.25">
      <c r="A247" s="7"/>
      <c r="B247" s="7" t="s">
        <v>534</v>
      </c>
      <c r="C247" s="3" t="s">
        <v>535</v>
      </c>
      <c r="D247" s="130">
        <v>441.8</v>
      </c>
      <c r="E247" s="146"/>
      <c r="F247" s="130">
        <v>441.8</v>
      </c>
      <c r="G247" s="130"/>
      <c r="H247" s="130">
        <v>441.8</v>
      </c>
      <c r="I247" s="130">
        <v>0</v>
      </c>
      <c r="J247" s="130"/>
      <c r="K247" s="130">
        <v>0</v>
      </c>
      <c r="L247" s="130">
        <v>0</v>
      </c>
      <c r="M247" s="130"/>
      <c r="N247" s="130">
        <v>0</v>
      </c>
    </row>
    <row r="248" spans="1:14" ht="39" x14ac:dyDescent="0.25">
      <c r="A248" s="7" t="s">
        <v>785</v>
      </c>
      <c r="B248" s="7"/>
      <c r="C248" s="14" t="s">
        <v>787</v>
      </c>
      <c r="D248" s="130">
        <f>D249</f>
        <v>0</v>
      </c>
      <c r="E248" s="146">
        <f>E249</f>
        <v>312</v>
      </c>
      <c r="F248" s="130">
        <f>F249</f>
        <v>312</v>
      </c>
      <c r="G248" s="130"/>
      <c r="H248" s="130">
        <f>H249</f>
        <v>312</v>
      </c>
      <c r="I248" s="130">
        <f>I249</f>
        <v>0</v>
      </c>
      <c r="J248" s="130"/>
      <c r="K248" s="130">
        <f>K249</f>
        <v>0</v>
      </c>
      <c r="L248" s="130">
        <f>L249</f>
        <v>0</v>
      </c>
      <c r="M248" s="130"/>
      <c r="N248" s="130">
        <f>N249</f>
        <v>0</v>
      </c>
    </row>
    <row r="249" spans="1:14" ht="26.25" x14ac:dyDescent="0.25">
      <c r="A249" s="7"/>
      <c r="B249" s="24" t="s">
        <v>362</v>
      </c>
      <c r="C249" s="3" t="s">
        <v>363</v>
      </c>
      <c r="D249" s="130">
        <v>0</v>
      </c>
      <c r="E249" s="146">
        <v>312</v>
      </c>
      <c r="F249" s="130">
        <f>SUM(D249:E249)</f>
        <v>312</v>
      </c>
      <c r="G249" s="130"/>
      <c r="H249" s="130">
        <f>SUM(F249:G249)</f>
        <v>312</v>
      </c>
      <c r="I249" s="130">
        <v>0</v>
      </c>
      <c r="J249" s="130"/>
      <c r="K249" s="130">
        <v>0</v>
      </c>
      <c r="L249" s="130">
        <v>0</v>
      </c>
      <c r="M249" s="130"/>
      <c r="N249" s="130">
        <v>0</v>
      </c>
    </row>
    <row r="250" spans="1:14" ht="26.25" x14ac:dyDescent="0.25">
      <c r="A250" s="7" t="s">
        <v>246</v>
      </c>
      <c r="B250" s="7"/>
      <c r="C250" s="3" t="s">
        <v>247</v>
      </c>
      <c r="D250" s="130">
        <v>64.099999999999994</v>
      </c>
      <c r="E250" s="130"/>
      <c r="F250" s="130">
        <v>64.099999999999994</v>
      </c>
      <c r="G250" s="130"/>
      <c r="H250" s="130">
        <v>64.099999999999994</v>
      </c>
      <c r="I250" s="130">
        <v>66.7</v>
      </c>
      <c r="J250" s="130"/>
      <c r="K250" s="130">
        <v>66.7</v>
      </c>
      <c r="L250" s="130">
        <v>69.3</v>
      </c>
      <c r="M250" s="130"/>
      <c r="N250" s="130">
        <v>69.3</v>
      </c>
    </row>
    <row r="251" spans="1:14" ht="26.25" x14ac:dyDescent="0.25">
      <c r="A251" s="7"/>
      <c r="B251" s="7" t="s">
        <v>336</v>
      </c>
      <c r="C251" s="3" t="s">
        <v>337</v>
      </c>
      <c r="D251" s="130">
        <v>64.099999999999994</v>
      </c>
      <c r="E251" s="130"/>
      <c r="F251" s="130">
        <v>64.099999999999994</v>
      </c>
      <c r="G251" s="130"/>
      <c r="H251" s="130">
        <v>64.099999999999994</v>
      </c>
      <c r="I251" s="130">
        <v>66.7</v>
      </c>
      <c r="J251" s="130"/>
      <c r="K251" s="130">
        <v>66.7</v>
      </c>
      <c r="L251" s="130">
        <v>69.3</v>
      </c>
      <c r="M251" s="130"/>
      <c r="N251" s="130">
        <v>69.3</v>
      </c>
    </row>
    <row r="252" spans="1:14" ht="39" x14ac:dyDescent="0.25">
      <c r="A252" s="7" t="s">
        <v>248</v>
      </c>
      <c r="B252" s="7"/>
      <c r="C252" s="3" t="s">
        <v>249</v>
      </c>
      <c r="D252" s="130">
        <v>727.7</v>
      </c>
      <c r="E252" s="130"/>
      <c r="F252" s="130">
        <v>0</v>
      </c>
      <c r="G252" s="130"/>
      <c r="H252" s="130">
        <f>H253</f>
        <v>0</v>
      </c>
      <c r="I252" s="130">
        <f>I253</f>
        <v>0</v>
      </c>
      <c r="J252" s="130">
        <f>J253</f>
        <v>0</v>
      </c>
      <c r="K252" s="130">
        <v>0</v>
      </c>
      <c r="L252" s="130">
        <f>L253</f>
        <v>752.39209000000005</v>
      </c>
      <c r="M252" s="130">
        <f>M253</f>
        <v>0</v>
      </c>
      <c r="N252" s="130">
        <f>N253</f>
        <v>752.39209000000005</v>
      </c>
    </row>
    <row r="253" spans="1:14" ht="26.25" x14ac:dyDescent="0.25">
      <c r="A253" s="7"/>
      <c r="B253" s="7" t="s">
        <v>336</v>
      </c>
      <c r="C253" s="3" t="s">
        <v>337</v>
      </c>
      <c r="D253" s="130">
        <v>727.7</v>
      </c>
      <c r="E253" s="130"/>
      <c r="F253" s="130">
        <v>0</v>
      </c>
      <c r="G253" s="130"/>
      <c r="H253" s="130">
        <v>0</v>
      </c>
      <c r="I253" s="146">
        <v>0</v>
      </c>
      <c r="J253" s="130"/>
      <c r="K253" s="130">
        <v>0</v>
      </c>
      <c r="L253" s="130">
        <v>752.39209000000005</v>
      </c>
      <c r="M253" s="130"/>
      <c r="N253" s="130">
        <f>SUM(L253:M253)</f>
        <v>752.39209000000005</v>
      </c>
    </row>
    <row r="254" spans="1:14" ht="39" x14ac:dyDescent="0.25">
      <c r="A254" s="7" t="s">
        <v>813</v>
      </c>
      <c r="B254" s="7"/>
      <c r="C254" s="3" t="s">
        <v>815</v>
      </c>
      <c r="D254" s="130">
        <v>727.7</v>
      </c>
      <c r="E254" s="130"/>
      <c r="F254" s="130">
        <f>F255</f>
        <v>0</v>
      </c>
      <c r="G254" s="130"/>
      <c r="H254" s="130">
        <v>0</v>
      </c>
      <c r="I254" s="130">
        <f t="shared" ref="I254:N254" si="24">I255</f>
        <v>30.60155</v>
      </c>
      <c r="J254" s="130"/>
      <c r="K254" s="130">
        <f t="shared" si="24"/>
        <v>30.60155</v>
      </c>
      <c r="L254" s="130">
        <f t="shared" si="24"/>
        <v>34.707909999999998</v>
      </c>
      <c r="M254" s="130">
        <f t="shared" si="24"/>
        <v>0</v>
      </c>
      <c r="N254" s="130">
        <f t="shared" si="24"/>
        <v>34.707909999999998</v>
      </c>
    </row>
    <row r="255" spans="1:14" ht="26.25" x14ac:dyDescent="0.25">
      <c r="A255" s="7"/>
      <c r="B255" s="7" t="s">
        <v>336</v>
      </c>
      <c r="C255" s="3" t="s">
        <v>337</v>
      </c>
      <c r="D255" s="130">
        <v>727.7</v>
      </c>
      <c r="E255" s="130"/>
      <c r="F255" s="130">
        <v>0</v>
      </c>
      <c r="G255" s="146"/>
      <c r="H255" s="130">
        <v>0</v>
      </c>
      <c r="I255" s="146">
        <v>30.60155</v>
      </c>
      <c r="J255" s="130"/>
      <c r="K255" s="130">
        <f>I255+J255</f>
        <v>30.60155</v>
      </c>
      <c r="L255" s="130">
        <f>L256+L257</f>
        <v>34.707909999999998</v>
      </c>
      <c r="M255" s="130">
        <f>M256+M257</f>
        <v>0</v>
      </c>
      <c r="N255" s="130">
        <f>N256+N257</f>
        <v>34.707909999999998</v>
      </c>
    </row>
    <row r="256" spans="1:14" x14ac:dyDescent="0.25">
      <c r="A256" s="7"/>
      <c r="B256" s="7"/>
      <c r="C256" s="1" t="s">
        <v>219</v>
      </c>
      <c r="D256" s="130"/>
      <c r="E256" s="130"/>
      <c r="F256" s="130"/>
      <c r="G256" s="146"/>
      <c r="H256" s="130"/>
      <c r="I256" s="146"/>
      <c r="J256" s="130"/>
      <c r="K256" s="130"/>
      <c r="L256" s="130"/>
      <c r="M256" s="130"/>
      <c r="N256" s="130"/>
    </row>
    <row r="257" spans="1:14" x14ac:dyDescent="0.25">
      <c r="A257" s="7"/>
      <c r="B257" s="7"/>
      <c r="C257" s="3" t="s">
        <v>171</v>
      </c>
      <c r="D257" s="130"/>
      <c r="E257" s="130"/>
      <c r="F257" s="130"/>
      <c r="G257" s="146"/>
      <c r="H257" s="130">
        <v>0</v>
      </c>
      <c r="I257" s="146"/>
      <c r="J257" s="130"/>
      <c r="K257" s="130">
        <v>0</v>
      </c>
      <c r="L257" s="130">
        <v>34.707909999999998</v>
      </c>
      <c r="M257" s="130"/>
      <c r="N257" s="130">
        <v>34.707909999999998</v>
      </c>
    </row>
    <row r="258" spans="1:14" ht="39" x14ac:dyDescent="0.25">
      <c r="A258" s="32" t="s">
        <v>251</v>
      </c>
      <c r="B258" s="32"/>
      <c r="C258" s="40" t="s">
        <v>252</v>
      </c>
      <c r="D258" s="132">
        <f t="shared" ref="D258:M258" si="25">D259+D318+D326</f>
        <v>86607.012999999992</v>
      </c>
      <c r="E258" s="132">
        <f t="shared" si="25"/>
        <v>0.15789</v>
      </c>
      <c r="F258" s="132">
        <f t="shared" si="25"/>
        <v>88128.270889999985</v>
      </c>
      <c r="G258" s="132">
        <f t="shared" si="25"/>
        <v>132</v>
      </c>
      <c r="H258" s="132">
        <f t="shared" si="25"/>
        <v>88260.270889999985</v>
      </c>
      <c r="I258" s="132">
        <f t="shared" si="25"/>
        <v>88097.600000000006</v>
      </c>
      <c r="J258" s="132">
        <f t="shared" si="25"/>
        <v>0</v>
      </c>
      <c r="K258" s="132">
        <f>K259+K318+K326</f>
        <v>88097.600000000006</v>
      </c>
      <c r="L258" s="132">
        <f t="shared" si="25"/>
        <v>82889.400000000009</v>
      </c>
      <c r="M258" s="132">
        <f t="shared" si="25"/>
        <v>0</v>
      </c>
      <c r="N258" s="132">
        <f>N259+N318+N326</f>
        <v>82889.400000000009</v>
      </c>
    </row>
    <row r="259" spans="1:14" ht="26.25" x14ac:dyDescent="0.25">
      <c r="A259" s="34" t="s">
        <v>253</v>
      </c>
      <c r="B259" s="34"/>
      <c r="C259" s="35" t="s">
        <v>254</v>
      </c>
      <c r="D259" s="139">
        <f>D260+D263+D270+D273+D276+D281+D284</f>
        <v>84931.212999999989</v>
      </c>
      <c r="E259" s="139">
        <f>E260+E263+E270+E273+E276+E281+E284+E311</f>
        <v>0.15789</v>
      </c>
      <c r="F259" s="139">
        <f>F260+F263+F270+F273+F276+F281+F284+F311</f>
        <v>86452.470889999982</v>
      </c>
      <c r="G259" s="139">
        <f>G260+G263+G270+G273+G276+G281+G284+G311</f>
        <v>132</v>
      </c>
      <c r="H259" s="139">
        <f>H260+H263+H270+H273+H276+H281+H284+H311</f>
        <v>86584.470889999982</v>
      </c>
      <c r="I259" s="139">
        <f t="shared" ref="I259:N259" si="26">I260+I263+I270+I273+I276+I281+I284</f>
        <v>86421.8</v>
      </c>
      <c r="J259" s="139">
        <f t="shared" si="26"/>
        <v>0</v>
      </c>
      <c r="K259" s="139">
        <f t="shared" si="26"/>
        <v>86421.8</v>
      </c>
      <c r="L259" s="139">
        <f t="shared" si="26"/>
        <v>81213.600000000006</v>
      </c>
      <c r="M259" s="139">
        <f t="shared" si="26"/>
        <v>0</v>
      </c>
      <c r="N259" s="139">
        <f t="shared" si="26"/>
        <v>81213.600000000006</v>
      </c>
    </row>
    <row r="260" spans="1:14" ht="39" x14ac:dyDescent="0.25">
      <c r="A260" s="36" t="s">
        <v>255</v>
      </c>
      <c r="B260" s="36"/>
      <c r="C260" s="37" t="s">
        <v>256</v>
      </c>
      <c r="D260" s="131">
        <f>D261</f>
        <v>41891.1</v>
      </c>
      <c r="E260" s="131"/>
      <c r="F260" s="131">
        <f>F261</f>
        <v>41891.1</v>
      </c>
      <c r="G260" s="131"/>
      <c r="H260" s="131">
        <f>H261</f>
        <v>41891.1</v>
      </c>
      <c r="I260" s="131">
        <f>I261</f>
        <v>42099.4</v>
      </c>
      <c r="J260" s="131"/>
      <c r="K260" s="131">
        <f>K261</f>
        <v>42099.4</v>
      </c>
      <c r="L260" s="131">
        <f>L261</f>
        <v>42316.2</v>
      </c>
      <c r="M260" s="131"/>
      <c r="N260" s="131">
        <f>N261</f>
        <v>42316.2</v>
      </c>
    </row>
    <row r="261" spans="1:14" ht="26.25" x14ac:dyDescent="0.25">
      <c r="A261" s="7" t="s">
        <v>257</v>
      </c>
      <c r="B261" s="7"/>
      <c r="C261" s="9" t="s">
        <v>557</v>
      </c>
      <c r="D261" s="130">
        <f>44018.7-2127.6</f>
        <v>41891.1</v>
      </c>
      <c r="E261" s="130"/>
      <c r="F261" s="130">
        <f>44018.7-2127.6</f>
        <v>41891.1</v>
      </c>
      <c r="G261" s="130"/>
      <c r="H261" s="130">
        <f>44018.7-2127.6</f>
        <v>41891.1</v>
      </c>
      <c r="I261" s="130">
        <f>45779.4-3680</f>
        <v>42099.4</v>
      </c>
      <c r="J261" s="130"/>
      <c r="K261" s="130">
        <f>45779.4-3680</f>
        <v>42099.4</v>
      </c>
      <c r="L261" s="130">
        <f>47610.6-5294.4</f>
        <v>42316.2</v>
      </c>
      <c r="M261" s="130"/>
      <c r="N261" s="130">
        <f>47610.6-5294.4</f>
        <v>42316.2</v>
      </c>
    </row>
    <row r="262" spans="1:14" ht="26.25" x14ac:dyDescent="0.25">
      <c r="A262" s="7"/>
      <c r="B262" s="7" t="s">
        <v>608</v>
      </c>
      <c r="C262" s="3" t="s">
        <v>609</v>
      </c>
      <c r="D262" s="130">
        <f>44018.7-2127.6</f>
        <v>41891.1</v>
      </c>
      <c r="E262" s="130"/>
      <c r="F262" s="130">
        <f>44018.7-2127.6</f>
        <v>41891.1</v>
      </c>
      <c r="G262" s="130"/>
      <c r="H262" s="130">
        <f>44018.7-2127.6</f>
        <v>41891.1</v>
      </c>
      <c r="I262" s="130">
        <f>45779.4-3680</f>
        <v>42099.4</v>
      </c>
      <c r="J262" s="130"/>
      <c r="K262" s="130">
        <f>45779.4-3680</f>
        <v>42099.4</v>
      </c>
      <c r="L262" s="130">
        <f>47610.6-5294.4</f>
        <v>42316.2</v>
      </c>
      <c r="M262" s="130"/>
      <c r="N262" s="130">
        <f>47610.6-5294.4</f>
        <v>42316.2</v>
      </c>
    </row>
    <row r="263" spans="1:14" ht="30" customHeight="1" x14ac:dyDescent="0.25">
      <c r="A263" s="36" t="s">
        <v>258</v>
      </c>
      <c r="B263" s="36"/>
      <c r="C263" s="37" t="s">
        <v>259</v>
      </c>
      <c r="D263" s="131">
        <f>D264+D266</f>
        <v>17389.399999999998</v>
      </c>
      <c r="E263" s="131"/>
      <c r="F263" s="131">
        <v>17484.3</v>
      </c>
      <c r="G263" s="131">
        <f>G268+G264</f>
        <v>0</v>
      </c>
      <c r="H263" s="131">
        <f>H264+H266+H268</f>
        <v>17484.3</v>
      </c>
      <c r="I263" s="131">
        <f>I264+I266</f>
        <v>17442.900000000001</v>
      </c>
      <c r="J263" s="131"/>
      <c r="K263" s="131">
        <f>K264+K266</f>
        <v>17442.900000000001</v>
      </c>
      <c r="L263" s="131">
        <f>L264+L266</f>
        <v>17498.2</v>
      </c>
      <c r="M263" s="131"/>
      <c r="N263" s="131">
        <f>N264+N266</f>
        <v>17498.2</v>
      </c>
    </row>
    <row r="264" spans="1:14" ht="26.25" x14ac:dyDescent="0.25">
      <c r="A264" s="7" t="s">
        <v>260</v>
      </c>
      <c r="B264" s="7"/>
      <c r="C264" s="9" t="s">
        <v>558</v>
      </c>
      <c r="D264" s="130">
        <f>17101.3-211.9</f>
        <v>16889.399999999998</v>
      </c>
      <c r="E264" s="130"/>
      <c r="F264" s="130">
        <f>17101.3-211.9</f>
        <v>16889.399999999998</v>
      </c>
      <c r="G264" s="130"/>
      <c r="H264" s="130">
        <f>H265</f>
        <v>16889.399999999998</v>
      </c>
      <c r="I264" s="130">
        <f>17785.4-842.5</f>
        <v>16942.900000000001</v>
      </c>
      <c r="J264" s="130"/>
      <c r="K264" s="130">
        <f>17785.4-842.5</f>
        <v>16942.900000000001</v>
      </c>
      <c r="L264" s="130">
        <f>18496.8-1498.6</f>
        <v>16998.2</v>
      </c>
      <c r="M264" s="130"/>
      <c r="N264" s="130">
        <f>18496.8-1498.6</f>
        <v>16998.2</v>
      </c>
    </row>
    <row r="265" spans="1:14" ht="26.25" x14ac:dyDescent="0.25">
      <c r="A265" s="7"/>
      <c r="B265" s="7" t="s">
        <v>608</v>
      </c>
      <c r="C265" s="3" t="s">
        <v>609</v>
      </c>
      <c r="D265" s="130">
        <f>17101.3-211.9</f>
        <v>16889.399999999998</v>
      </c>
      <c r="E265" s="130"/>
      <c r="F265" s="130">
        <f>17101.3-211.9</f>
        <v>16889.399999999998</v>
      </c>
      <c r="G265" s="130"/>
      <c r="H265" s="130">
        <f>SUM(F265:G265)</f>
        <v>16889.399999999998</v>
      </c>
      <c r="I265" s="130">
        <f>17785.4-842.5</f>
        <v>16942.900000000001</v>
      </c>
      <c r="J265" s="130"/>
      <c r="K265" s="130">
        <f>17785.4-842.5</f>
        <v>16942.900000000001</v>
      </c>
      <c r="L265" s="130">
        <f>18496.8-1498.6</f>
        <v>16998.2</v>
      </c>
      <c r="M265" s="130"/>
      <c r="N265" s="130">
        <f>18496.8-1498.6</f>
        <v>16998.2</v>
      </c>
    </row>
    <row r="266" spans="1:14" ht="26.25" x14ac:dyDescent="0.25">
      <c r="A266" s="7" t="s">
        <v>261</v>
      </c>
      <c r="B266" s="7"/>
      <c r="C266" s="9" t="s">
        <v>262</v>
      </c>
      <c r="D266" s="130">
        <v>500</v>
      </c>
      <c r="E266" s="130"/>
      <c r="F266" s="130">
        <v>500</v>
      </c>
      <c r="G266" s="130"/>
      <c r="H266" s="130">
        <v>500</v>
      </c>
      <c r="I266" s="130">
        <v>500</v>
      </c>
      <c r="J266" s="130"/>
      <c r="K266" s="130">
        <v>500</v>
      </c>
      <c r="L266" s="130">
        <v>500</v>
      </c>
      <c r="M266" s="130"/>
      <c r="N266" s="130">
        <v>500</v>
      </c>
    </row>
    <row r="267" spans="1:14" ht="26.25" x14ac:dyDescent="0.25">
      <c r="A267" s="7"/>
      <c r="B267" s="7" t="s">
        <v>608</v>
      </c>
      <c r="C267" s="3" t="s">
        <v>609</v>
      </c>
      <c r="D267" s="130">
        <v>500</v>
      </c>
      <c r="E267" s="130"/>
      <c r="F267" s="130">
        <v>500</v>
      </c>
      <c r="G267" s="130"/>
      <c r="H267" s="130">
        <v>500</v>
      </c>
      <c r="I267" s="130">
        <v>500</v>
      </c>
      <c r="J267" s="130"/>
      <c r="K267" s="130">
        <v>500</v>
      </c>
      <c r="L267" s="130">
        <v>500</v>
      </c>
      <c r="M267" s="130"/>
      <c r="N267" s="130">
        <v>500</v>
      </c>
    </row>
    <row r="268" spans="1:14" ht="26.25" x14ac:dyDescent="0.25">
      <c r="A268" s="7" t="s">
        <v>819</v>
      </c>
      <c r="B268" s="7"/>
      <c r="C268" s="3" t="s">
        <v>828</v>
      </c>
      <c r="D268" s="130"/>
      <c r="E268" s="130"/>
      <c r="F268" s="130">
        <v>94.9</v>
      </c>
      <c r="G268" s="130"/>
      <c r="H268" s="130">
        <v>94.9</v>
      </c>
      <c r="I268" s="130"/>
      <c r="J268" s="130"/>
      <c r="K268" s="130">
        <v>0</v>
      </c>
      <c r="L268" s="130"/>
      <c r="M268" s="130"/>
      <c r="N268" s="130">
        <v>0</v>
      </c>
    </row>
    <row r="269" spans="1:14" ht="26.25" x14ac:dyDescent="0.25">
      <c r="A269" s="7"/>
      <c r="B269" s="7" t="s">
        <v>608</v>
      </c>
      <c r="C269" s="3" t="s">
        <v>609</v>
      </c>
      <c r="D269" s="130"/>
      <c r="E269" s="130"/>
      <c r="F269" s="130">
        <v>94.9</v>
      </c>
      <c r="G269" s="130"/>
      <c r="H269" s="130">
        <v>94.9</v>
      </c>
      <c r="I269" s="130"/>
      <c r="J269" s="130"/>
      <c r="K269" s="130">
        <v>0</v>
      </c>
      <c r="L269" s="130"/>
      <c r="M269" s="130"/>
      <c r="N269" s="130">
        <v>0</v>
      </c>
    </row>
    <row r="270" spans="1:14" ht="26.25" x14ac:dyDescent="0.25">
      <c r="A270" s="36" t="s">
        <v>263</v>
      </c>
      <c r="B270" s="36"/>
      <c r="C270" s="37" t="s">
        <v>264</v>
      </c>
      <c r="D270" s="131">
        <f>D271</f>
        <v>1324.7</v>
      </c>
      <c r="E270" s="131"/>
      <c r="F270" s="131">
        <f>F271</f>
        <v>1324.7</v>
      </c>
      <c r="G270" s="131"/>
      <c r="H270" s="131">
        <f>H271</f>
        <v>1324.7</v>
      </c>
      <c r="I270" s="131">
        <f>I271</f>
        <v>1326.7</v>
      </c>
      <c r="J270" s="131"/>
      <c r="K270" s="131">
        <f>K271</f>
        <v>1326.7</v>
      </c>
      <c r="L270" s="131">
        <f>L271</f>
        <v>1328.8</v>
      </c>
      <c r="M270" s="131"/>
      <c r="N270" s="131">
        <f>N271</f>
        <v>1328.8</v>
      </c>
    </row>
    <row r="271" spans="1:14" x14ac:dyDescent="0.25">
      <c r="A271" s="7" t="s">
        <v>265</v>
      </c>
      <c r="B271" s="7"/>
      <c r="C271" s="9" t="s">
        <v>559</v>
      </c>
      <c r="D271" s="130">
        <f>1337-12.3</f>
        <v>1324.7</v>
      </c>
      <c r="E271" s="130"/>
      <c r="F271" s="130">
        <f>1337-12.3</f>
        <v>1324.7</v>
      </c>
      <c r="G271" s="130"/>
      <c r="H271" s="130">
        <f>1337-12.3</f>
        <v>1324.7</v>
      </c>
      <c r="I271" s="130">
        <f>1390.5-63.8</f>
        <v>1326.7</v>
      </c>
      <c r="J271" s="130"/>
      <c r="K271" s="130">
        <f>1390.5-63.8</f>
        <v>1326.7</v>
      </c>
      <c r="L271" s="130">
        <f>1446.1-117.3</f>
        <v>1328.8</v>
      </c>
      <c r="M271" s="130"/>
      <c r="N271" s="130">
        <f>1446.1-117.3</f>
        <v>1328.8</v>
      </c>
    </row>
    <row r="272" spans="1:14" ht="26.25" x14ac:dyDescent="0.25">
      <c r="A272" s="7"/>
      <c r="B272" s="7" t="s">
        <v>608</v>
      </c>
      <c r="C272" s="3" t="s">
        <v>609</v>
      </c>
      <c r="D272" s="130">
        <f>1337-12.3</f>
        <v>1324.7</v>
      </c>
      <c r="E272" s="130"/>
      <c r="F272" s="130">
        <f>1337-12.3</f>
        <v>1324.7</v>
      </c>
      <c r="G272" s="130"/>
      <c r="H272" s="130">
        <f>1337-12.3</f>
        <v>1324.7</v>
      </c>
      <c r="I272" s="130">
        <f>1390.5-63.8</f>
        <v>1326.7</v>
      </c>
      <c r="J272" s="130"/>
      <c r="K272" s="130">
        <f>1390.5-63.8</f>
        <v>1326.7</v>
      </c>
      <c r="L272" s="130">
        <f>1446.1-117.3</f>
        <v>1328.8</v>
      </c>
      <c r="M272" s="130"/>
      <c r="N272" s="130">
        <f>1446.1-117.3</f>
        <v>1328.8</v>
      </c>
    </row>
    <row r="273" spans="1:16" ht="26.25" x14ac:dyDescent="0.25">
      <c r="A273" s="36" t="s">
        <v>266</v>
      </c>
      <c r="B273" s="36"/>
      <c r="C273" s="37" t="s">
        <v>267</v>
      </c>
      <c r="D273" s="131">
        <f>D274</f>
        <v>18484.099999999999</v>
      </c>
      <c r="E273" s="131"/>
      <c r="F273" s="131">
        <f>F274</f>
        <v>18484.099999999999</v>
      </c>
      <c r="G273" s="131"/>
      <c r="H273" s="131">
        <f>H274</f>
        <v>18484.099999999999</v>
      </c>
      <c r="I273" s="131">
        <f>I274</f>
        <v>18504.5</v>
      </c>
      <c r="J273" s="131"/>
      <c r="K273" s="131">
        <f>K274</f>
        <v>18504.5</v>
      </c>
      <c r="L273" s="131">
        <f>L274</f>
        <v>18525.400000000001</v>
      </c>
      <c r="M273" s="131"/>
      <c r="N273" s="131">
        <f>N274</f>
        <v>18525.400000000001</v>
      </c>
    </row>
    <row r="274" spans="1:16" x14ac:dyDescent="0.25">
      <c r="A274" s="7" t="s">
        <v>268</v>
      </c>
      <c r="B274" s="7"/>
      <c r="C274" s="9" t="s">
        <v>560</v>
      </c>
      <c r="D274" s="130">
        <f>19408.5-924.4</f>
        <v>18484.099999999999</v>
      </c>
      <c r="E274" s="130"/>
      <c r="F274" s="130">
        <f>19408.5-924.4</f>
        <v>18484.099999999999</v>
      </c>
      <c r="G274" s="130"/>
      <c r="H274" s="130">
        <f>19408.5-924.4</f>
        <v>18484.099999999999</v>
      </c>
      <c r="I274" s="130">
        <f>20184.8-1680.3</f>
        <v>18504.5</v>
      </c>
      <c r="J274" s="130"/>
      <c r="K274" s="130">
        <f>20184.8-1680.3</f>
        <v>18504.5</v>
      </c>
      <c r="L274" s="130">
        <f>20992.2-2466.8</f>
        <v>18525.400000000001</v>
      </c>
      <c r="M274" s="130"/>
      <c r="N274" s="130">
        <f>20992.2-2466.8</f>
        <v>18525.400000000001</v>
      </c>
    </row>
    <row r="275" spans="1:16" ht="26.25" x14ac:dyDescent="0.25">
      <c r="A275" s="7"/>
      <c r="B275" s="7" t="s">
        <v>608</v>
      </c>
      <c r="C275" s="3" t="s">
        <v>609</v>
      </c>
      <c r="D275" s="130">
        <f>19408.5-924.4</f>
        <v>18484.099999999999</v>
      </c>
      <c r="E275" s="130"/>
      <c r="F275" s="130">
        <f>19408.5-924.4</f>
        <v>18484.099999999999</v>
      </c>
      <c r="G275" s="130"/>
      <c r="H275" s="130">
        <f>19408.5-924.4</f>
        <v>18484.099999999999</v>
      </c>
      <c r="I275" s="130">
        <f>20184.8-1680.3</f>
        <v>18504.5</v>
      </c>
      <c r="J275" s="130"/>
      <c r="K275" s="130">
        <f>20184.8-1680.3</f>
        <v>18504.5</v>
      </c>
      <c r="L275" s="130">
        <f>20992.2-2466.8</f>
        <v>18525.400000000001</v>
      </c>
      <c r="M275" s="130"/>
      <c r="N275" s="130">
        <f>20992.2-2466.8</f>
        <v>18525.400000000001</v>
      </c>
    </row>
    <row r="276" spans="1:16" ht="26.25" x14ac:dyDescent="0.25">
      <c r="A276" s="36" t="s">
        <v>269</v>
      </c>
      <c r="B276" s="39"/>
      <c r="C276" s="37" t="s">
        <v>270</v>
      </c>
      <c r="D276" s="131">
        <f>D277+D279</f>
        <v>1465</v>
      </c>
      <c r="E276" s="131"/>
      <c r="F276" s="131">
        <f>F277+F279</f>
        <v>1530</v>
      </c>
      <c r="G276" s="131">
        <f>G277+G279</f>
        <v>32</v>
      </c>
      <c r="H276" s="131">
        <f>H277+H279</f>
        <v>1562</v>
      </c>
      <c r="I276" s="131">
        <f>I277+I279</f>
        <v>1465</v>
      </c>
      <c r="J276" s="131"/>
      <c r="K276" s="131">
        <f>K277+K279</f>
        <v>1465</v>
      </c>
      <c r="L276" s="131">
        <f>L277+L279</f>
        <v>1465</v>
      </c>
      <c r="M276" s="131"/>
      <c r="N276" s="131">
        <f>N277+N279</f>
        <v>1465</v>
      </c>
    </row>
    <row r="277" spans="1:16" ht="64.5" x14ac:dyDescent="0.25">
      <c r="A277" s="7" t="s">
        <v>271</v>
      </c>
      <c r="B277" s="7"/>
      <c r="C277" s="3" t="s">
        <v>748</v>
      </c>
      <c r="D277" s="130">
        <v>875</v>
      </c>
      <c r="E277" s="130"/>
      <c r="F277" s="130">
        <f>F278</f>
        <v>925</v>
      </c>
      <c r="G277" s="130"/>
      <c r="H277" s="130">
        <f>H278</f>
        <v>925</v>
      </c>
      <c r="I277" s="130">
        <v>875</v>
      </c>
      <c r="J277" s="130"/>
      <c r="K277" s="130">
        <v>875</v>
      </c>
      <c r="L277" s="130">
        <v>875</v>
      </c>
      <c r="M277" s="130"/>
      <c r="N277" s="130">
        <v>875</v>
      </c>
    </row>
    <row r="278" spans="1:16" ht="26.25" x14ac:dyDescent="0.25">
      <c r="A278" s="7"/>
      <c r="B278" s="7" t="s">
        <v>608</v>
      </c>
      <c r="C278" s="3" t="s">
        <v>609</v>
      </c>
      <c r="D278" s="130">
        <v>875</v>
      </c>
      <c r="E278" s="130"/>
      <c r="F278" s="130">
        <v>925</v>
      </c>
      <c r="G278" s="146"/>
      <c r="H278" s="130">
        <v>925</v>
      </c>
      <c r="I278" s="130">
        <v>875</v>
      </c>
      <c r="J278" s="130"/>
      <c r="K278" s="130">
        <v>875</v>
      </c>
      <c r="L278" s="130">
        <v>875</v>
      </c>
      <c r="M278" s="130"/>
      <c r="N278" s="130">
        <v>875</v>
      </c>
    </row>
    <row r="279" spans="1:16" ht="51.75" x14ac:dyDescent="0.25">
      <c r="A279" s="7" t="s">
        <v>273</v>
      </c>
      <c r="B279" s="7"/>
      <c r="C279" s="3" t="s">
        <v>274</v>
      </c>
      <c r="D279" s="130">
        <v>590</v>
      </c>
      <c r="E279" s="130"/>
      <c r="F279" s="130">
        <v>605</v>
      </c>
      <c r="G279" s="130">
        <v>32</v>
      </c>
      <c r="H279" s="130">
        <f>H280</f>
        <v>637</v>
      </c>
      <c r="I279" s="130">
        <v>590</v>
      </c>
      <c r="J279" s="130"/>
      <c r="K279" s="130">
        <v>590</v>
      </c>
      <c r="L279" s="130">
        <v>590</v>
      </c>
      <c r="M279" s="130"/>
      <c r="N279" s="130">
        <v>590</v>
      </c>
    </row>
    <row r="280" spans="1:16" ht="26.25" x14ac:dyDescent="0.25">
      <c r="A280" s="7"/>
      <c r="B280" s="7" t="s">
        <v>608</v>
      </c>
      <c r="C280" s="3" t="s">
        <v>609</v>
      </c>
      <c r="D280" s="130">
        <v>590</v>
      </c>
      <c r="E280" s="130"/>
      <c r="F280" s="130">
        <v>605</v>
      </c>
      <c r="G280" s="130">
        <v>32</v>
      </c>
      <c r="H280" s="130">
        <f>SUM(F280:G280)</f>
        <v>637</v>
      </c>
      <c r="I280" s="130">
        <v>590</v>
      </c>
      <c r="J280" s="130"/>
      <c r="K280" s="130">
        <v>590</v>
      </c>
      <c r="L280" s="130">
        <v>590</v>
      </c>
      <c r="M280" s="130"/>
      <c r="N280" s="130">
        <v>590</v>
      </c>
    </row>
    <row r="281" spans="1:16" x14ac:dyDescent="0.25">
      <c r="A281" s="36" t="s">
        <v>275</v>
      </c>
      <c r="B281" s="39"/>
      <c r="C281" s="37" t="s">
        <v>276</v>
      </c>
      <c r="D281" s="131">
        <f>D282</f>
        <v>80</v>
      </c>
      <c r="E281" s="131"/>
      <c r="F281" s="131">
        <f>F282</f>
        <v>50</v>
      </c>
      <c r="G281" s="131"/>
      <c r="H281" s="131">
        <f>H282</f>
        <v>50</v>
      </c>
      <c r="I281" s="131">
        <f>I282</f>
        <v>80</v>
      </c>
      <c r="J281" s="131"/>
      <c r="K281" s="131">
        <f>K282</f>
        <v>80</v>
      </c>
      <c r="L281" s="131">
        <f>L282</f>
        <v>80</v>
      </c>
      <c r="M281" s="131"/>
      <c r="N281" s="131">
        <f>N282</f>
        <v>80</v>
      </c>
    </row>
    <row r="282" spans="1:16" ht="26.25" x14ac:dyDescent="0.25">
      <c r="A282" s="7" t="s">
        <v>277</v>
      </c>
      <c r="B282" s="7"/>
      <c r="C282" s="3" t="s">
        <v>561</v>
      </c>
      <c r="D282" s="130">
        <v>80</v>
      </c>
      <c r="E282" s="130"/>
      <c r="F282" s="130">
        <f>F283</f>
        <v>50</v>
      </c>
      <c r="G282" s="130"/>
      <c r="H282" s="130">
        <f>H283</f>
        <v>50</v>
      </c>
      <c r="I282" s="130">
        <v>80</v>
      </c>
      <c r="J282" s="130"/>
      <c r="K282" s="130">
        <v>80</v>
      </c>
      <c r="L282" s="130">
        <v>80</v>
      </c>
      <c r="M282" s="130"/>
      <c r="N282" s="130">
        <v>80</v>
      </c>
    </row>
    <row r="283" spans="1:16" ht="26.25" x14ac:dyDescent="0.25">
      <c r="A283" s="7"/>
      <c r="B283" s="7" t="s">
        <v>608</v>
      </c>
      <c r="C283" s="3" t="s">
        <v>609</v>
      </c>
      <c r="D283" s="130">
        <v>80</v>
      </c>
      <c r="E283" s="130"/>
      <c r="F283" s="130">
        <v>50</v>
      </c>
      <c r="G283" s="146"/>
      <c r="H283" s="130">
        <v>50</v>
      </c>
      <c r="I283" s="130">
        <v>80</v>
      </c>
      <c r="J283" s="130"/>
      <c r="K283" s="130">
        <v>80</v>
      </c>
      <c r="L283" s="130">
        <v>80</v>
      </c>
      <c r="M283" s="130"/>
      <c r="N283" s="130">
        <v>80</v>
      </c>
    </row>
    <row r="284" spans="1:16" ht="51.75" x14ac:dyDescent="0.25">
      <c r="A284" s="36" t="s">
        <v>278</v>
      </c>
      <c r="B284" s="36"/>
      <c r="C284" s="55" t="s">
        <v>279</v>
      </c>
      <c r="D284" s="131">
        <f>D285+D289+D295+D299+D303+D308</f>
        <v>4296.9130000000005</v>
      </c>
      <c r="E284" s="131">
        <f>E285+E289+E295+E299+E303+E308</f>
        <v>0</v>
      </c>
      <c r="F284" s="131">
        <f>F285+F289+F295+F299+F303+F308+F305</f>
        <v>5688.1129999999994</v>
      </c>
      <c r="G284" s="131">
        <f>G285+G289+G295+G299+G303+G308+G305</f>
        <v>100</v>
      </c>
      <c r="H284" s="131">
        <f>H285+H289+H295+H299+H303+H308+H305</f>
        <v>5788.1129999999994</v>
      </c>
      <c r="I284" s="131">
        <f>I285+I289+I295+I299+I303+I308</f>
        <v>5503.3</v>
      </c>
      <c r="J284" s="131">
        <f>J285+J289+J295+J299+J303+J308</f>
        <v>0</v>
      </c>
      <c r="K284" s="131">
        <f>K285+K289+K295+K299+K303+K308</f>
        <v>5503.3</v>
      </c>
      <c r="L284" s="131">
        <f>L285+L289+L295+L299+L303</f>
        <v>0</v>
      </c>
      <c r="M284" s="131"/>
      <c r="N284" s="131">
        <f>N285+N289+N295+N299+N303</f>
        <v>0</v>
      </c>
    </row>
    <row r="285" spans="1:16" ht="51.75" x14ac:dyDescent="0.25">
      <c r="A285" s="7" t="s">
        <v>280</v>
      </c>
      <c r="B285" s="13"/>
      <c r="C285" s="3" t="s">
        <v>281</v>
      </c>
      <c r="D285" s="130">
        <f>D287+D288</f>
        <v>1428.7130000000002</v>
      </c>
      <c r="E285" s="130"/>
      <c r="F285" s="130">
        <f>F287+F288</f>
        <v>1428.7130000000002</v>
      </c>
      <c r="G285" s="130"/>
      <c r="H285" s="130">
        <f>H287+H288</f>
        <v>1428.7130000000002</v>
      </c>
      <c r="I285" s="130">
        <v>0</v>
      </c>
      <c r="J285" s="130"/>
      <c r="K285" s="130">
        <v>0</v>
      </c>
      <c r="L285" s="130">
        <v>0</v>
      </c>
      <c r="M285" s="130"/>
      <c r="N285" s="130">
        <v>0</v>
      </c>
    </row>
    <row r="286" spans="1:16" ht="26.25" x14ac:dyDescent="0.25">
      <c r="A286" s="7"/>
      <c r="B286" s="7" t="s">
        <v>608</v>
      </c>
      <c r="C286" s="3" t="s">
        <v>609</v>
      </c>
      <c r="D286" s="130">
        <f>D287+D288</f>
        <v>1428.7130000000002</v>
      </c>
      <c r="E286" s="130"/>
      <c r="F286" s="130">
        <f>F287+F288</f>
        <v>1428.7130000000002</v>
      </c>
      <c r="G286" s="130"/>
      <c r="H286" s="130">
        <f>H287+H288</f>
        <v>1428.7130000000002</v>
      </c>
      <c r="I286" s="130">
        <v>0</v>
      </c>
      <c r="J286" s="130"/>
      <c r="K286" s="130">
        <v>0</v>
      </c>
      <c r="L286" s="130">
        <v>0</v>
      </c>
      <c r="M286" s="130"/>
      <c r="N286" s="130">
        <v>0</v>
      </c>
    </row>
    <row r="287" spans="1:16" x14ac:dyDescent="0.25">
      <c r="A287" s="7"/>
      <c r="B287" s="7"/>
      <c r="C287" s="1" t="s">
        <v>219</v>
      </c>
      <c r="D287" s="130">
        <v>1071.5350000000001</v>
      </c>
      <c r="E287" s="130"/>
      <c r="F287" s="130">
        <v>1071.5350000000001</v>
      </c>
      <c r="G287" s="130"/>
      <c r="H287" s="130">
        <v>1071.5350000000001</v>
      </c>
      <c r="I287" s="130">
        <v>0</v>
      </c>
      <c r="J287" s="130"/>
      <c r="K287" s="130">
        <v>0</v>
      </c>
      <c r="L287" s="130">
        <v>0</v>
      </c>
      <c r="M287" s="130"/>
      <c r="N287" s="130">
        <v>0</v>
      </c>
      <c r="P287" s="45"/>
    </row>
    <row r="288" spans="1:16" x14ac:dyDescent="0.25">
      <c r="A288" s="7"/>
      <c r="B288" s="7"/>
      <c r="C288" s="3" t="s">
        <v>171</v>
      </c>
      <c r="D288" s="130">
        <v>357.178</v>
      </c>
      <c r="E288" s="130"/>
      <c r="F288" s="130">
        <v>357.178</v>
      </c>
      <c r="G288" s="130"/>
      <c r="H288" s="130">
        <v>357.178</v>
      </c>
      <c r="I288" s="130">
        <v>0</v>
      </c>
      <c r="J288" s="130"/>
      <c r="K288" s="130">
        <v>0</v>
      </c>
      <c r="L288" s="130">
        <v>0</v>
      </c>
      <c r="M288" s="130"/>
      <c r="N288" s="130">
        <v>0</v>
      </c>
    </row>
    <row r="289" spans="1:14" ht="25.5" x14ac:dyDescent="0.25">
      <c r="A289" s="17" t="s">
        <v>282</v>
      </c>
      <c r="B289" s="56"/>
      <c r="C289" s="57" t="s">
        <v>283</v>
      </c>
      <c r="D289" s="135">
        <v>0</v>
      </c>
      <c r="E289" s="135"/>
      <c r="F289" s="135">
        <v>0</v>
      </c>
      <c r="G289" s="135"/>
      <c r="H289" s="135">
        <v>0</v>
      </c>
      <c r="I289" s="135">
        <f>I290+I291</f>
        <v>0</v>
      </c>
      <c r="J289" s="135"/>
      <c r="K289" s="135">
        <f>K290+K291</f>
        <v>0</v>
      </c>
      <c r="L289" s="135">
        <v>0</v>
      </c>
      <c r="M289" s="135"/>
      <c r="N289" s="135">
        <v>0</v>
      </c>
    </row>
    <row r="290" spans="1:14" x14ac:dyDescent="0.25">
      <c r="A290" s="56"/>
      <c r="B290" s="56"/>
      <c r="C290" s="1" t="s">
        <v>219</v>
      </c>
      <c r="D290" s="135"/>
      <c r="E290" s="135"/>
      <c r="F290" s="135"/>
      <c r="G290" s="135"/>
      <c r="H290" s="135"/>
      <c r="I290" s="135"/>
      <c r="J290" s="135"/>
      <c r="K290" s="135"/>
      <c r="L290" s="135"/>
      <c r="M290" s="135"/>
      <c r="N290" s="135"/>
    </row>
    <row r="291" spans="1:14" x14ac:dyDescent="0.25">
      <c r="A291" s="56"/>
      <c r="B291" s="56"/>
      <c r="C291" s="3" t="s">
        <v>171</v>
      </c>
      <c r="D291" s="135">
        <v>0</v>
      </c>
      <c r="E291" s="135"/>
      <c r="F291" s="135">
        <v>0</v>
      </c>
      <c r="G291" s="135"/>
      <c r="H291" s="135">
        <v>0</v>
      </c>
      <c r="I291" s="135">
        <v>0</v>
      </c>
      <c r="J291" s="135"/>
      <c r="K291" s="135">
        <v>0</v>
      </c>
      <c r="L291" s="135">
        <v>0</v>
      </c>
      <c r="M291" s="135"/>
      <c r="N291" s="135">
        <v>0</v>
      </c>
    </row>
    <row r="292" spans="1:14" ht="39" x14ac:dyDescent="0.25">
      <c r="A292" s="7" t="s">
        <v>284</v>
      </c>
      <c r="B292" s="56"/>
      <c r="C292" s="3" t="s">
        <v>285</v>
      </c>
      <c r="D292" s="135">
        <v>440</v>
      </c>
      <c r="E292" s="135"/>
      <c r="F292" s="135">
        <v>440</v>
      </c>
      <c r="G292" s="135"/>
      <c r="H292" s="135">
        <f>H293</f>
        <v>0</v>
      </c>
      <c r="I292" s="135">
        <v>200</v>
      </c>
      <c r="J292" s="135">
        <f>J293</f>
        <v>0</v>
      </c>
      <c r="K292" s="135">
        <f>K293</f>
        <v>503.3</v>
      </c>
      <c r="L292" s="135">
        <v>0</v>
      </c>
      <c r="M292" s="135"/>
      <c r="N292" s="135">
        <v>0</v>
      </c>
    </row>
    <row r="293" spans="1:14" ht="26.25" x14ac:dyDescent="0.25">
      <c r="A293" s="7"/>
      <c r="B293" s="7" t="s">
        <v>608</v>
      </c>
      <c r="C293" s="3" t="s">
        <v>609</v>
      </c>
      <c r="D293" s="135">
        <v>440</v>
      </c>
      <c r="E293" s="135"/>
      <c r="F293" s="135">
        <v>440</v>
      </c>
      <c r="G293" s="135"/>
      <c r="H293" s="135">
        <f>H298</f>
        <v>0</v>
      </c>
      <c r="I293" s="135">
        <v>200</v>
      </c>
      <c r="J293" s="135">
        <f>J299</f>
        <v>0</v>
      </c>
      <c r="K293" s="135">
        <f>K299</f>
        <v>503.3</v>
      </c>
      <c r="L293" s="135">
        <v>0</v>
      </c>
      <c r="M293" s="135"/>
      <c r="N293" s="135">
        <v>0</v>
      </c>
    </row>
    <row r="294" spans="1:14" x14ac:dyDescent="0.25">
      <c r="A294" s="7"/>
      <c r="B294" s="56"/>
      <c r="C294" s="3" t="s">
        <v>286</v>
      </c>
      <c r="D294" s="135"/>
      <c r="E294" s="135"/>
      <c r="F294" s="135">
        <v>0</v>
      </c>
      <c r="G294" s="135"/>
      <c r="H294" s="135">
        <v>0</v>
      </c>
      <c r="I294" s="135">
        <v>0</v>
      </c>
      <c r="J294" s="135"/>
      <c r="K294" s="135">
        <v>0</v>
      </c>
      <c r="L294" s="135">
        <v>0</v>
      </c>
      <c r="M294" s="135"/>
      <c r="N294" s="135">
        <v>0</v>
      </c>
    </row>
    <row r="295" spans="1:14" s="58" customFormat="1" ht="39" x14ac:dyDescent="0.25">
      <c r="A295" s="11"/>
      <c r="B295" s="11"/>
      <c r="C295" s="12" t="s">
        <v>287</v>
      </c>
      <c r="D295" s="149">
        <f>D296+D297+D298</f>
        <v>440</v>
      </c>
      <c r="E295" s="149"/>
      <c r="F295" s="149">
        <f>F296+F297+F298</f>
        <v>0</v>
      </c>
      <c r="G295" s="149"/>
      <c r="H295" s="149">
        <f>H296+H297+H298</f>
        <v>0</v>
      </c>
      <c r="I295" s="149">
        <f>I296+I297+I298</f>
        <v>0</v>
      </c>
      <c r="J295" s="149"/>
      <c r="K295" s="149">
        <f>K296+K297+K298</f>
        <v>0</v>
      </c>
      <c r="L295" s="149">
        <f>L296+L297+L298</f>
        <v>0</v>
      </c>
      <c r="M295" s="149"/>
      <c r="N295" s="149">
        <f>N296+N297+N298</f>
        <v>0</v>
      </c>
    </row>
    <row r="296" spans="1:14" x14ac:dyDescent="0.25">
      <c r="A296" s="7"/>
      <c r="B296" s="7"/>
      <c r="C296" s="1" t="s">
        <v>222</v>
      </c>
      <c r="D296" s="135">
        <v>0</v>
      </c>
      <c r="E296" s="135"/>
      <c r="F296" s="135">
        <v>0</v>
      </c>
      <c r="G296" s="135"/>
      <c r="H296" s="135">
        <v>0</v>
      </c>
      <c r="I296" s="135">
        <v>0</v>
      </c>
      <c r="J296" s="135"/>
      <c r="K296" s="135">
        <v>0</v>
      </c>
      <c r="L296" s="135">
        <v>0</v>
      </c>
      <c r="M296" s="135"/>
      <c r="N296" s="135">
        <v>0</v>
      </c>
    </row>
    <row r="297" spans="1:14" x14ac:dyDescent="0.25">
      <c r="A297" s="7"/>
      <c r="B297" s="7"/>
      <c r="C297" s="1" t="s">
        <v>219</v>
      </c>
      <c r="D297" s="135">
        <v>0</v>
      </c>
      <c r="E297" s="135"/>
      <c r="F297" s="135">
        <v>0</v>
      </c>
      <c r="G297" s="135"/>
      <c r="H297" s="135">
        <v>0</v>
      </c>
      <c r="I297" s="135">
        <v>0</v>
      </c>
      <c r="J297" s="135"/>
      <c r="K297" s="135">
        <v>0</v>
      </c>
      <c r="L297" s="135">
        <v>0</v>
      </c>
      <c r="M297" s="135"/>
      <c r="N297" s="135">
        <v>0</v>
      </c>
    </row>
    <row r="298" spans="1:14" x14ac:dyDescent="0.25">
      <c r="A298" s="7"/>
      <c r="B298" s="7"/>
      <c r="C298" s="3" t="s">
        <v>171</v>
      </c>
      <c r="D298" s="135">
        <v>440</v>
      </c>
      <c r="E298" s="135"/>
      <c r="F298" s="135">
        <v>0</v>
      </c>
      <c r="G298" s="135"/>
      <c r="H298" s="135">
        <v>0</v>
      </c>
      <c r="I298" s="135">
        <v>0</v>
      </c>
      <c r="J298" s="135"/>
      <c r="K298" s="135">
        <v>0</v>
      </c>
      <c r="L298" s="135">
        <v>0</v>
      </c>
      <c r="M298" s="135"/>
      <c r="N298" s="135">
        <v>0</v>
      </c>
    </row>
    <row r="299" spans="1:14" s="58" customFormat="1" ht="39" x14ac:dyDescent="0.25">
      <c r="A299" s="11"/>
      <c r="B299" s="11"/>
      <c r="C299" s="12" t="s">
        <v>288</v>
      </c>
      <c r="D299" s="141">
        <v>0</v>
      </c>
      <c r="E299" s="141"/>
      <c r="F299" s="141">
        <v>0</v>
      </c>
      <c r="G299" s="141"/>
      <c r="H299" s="141">
        <v>0</v>
      </c>
      <c r="I299" s="141">
        <f>I302</f>
        <v>503.3</v>
      </c>
      <c r="J299" s="141">
        <f>J300+J301+J302</f>
        <v>0</v>
      </c>
      <c r="K299" s="141">
        <f>K300+K301+K302</f>
        <v>503.3</v>
      </c>
      <c r="L299" s="141">
        <v>0</v>
      </c>
      <c r="M299" s="141"/>
      <c r="N299" s="141">
        <v>0</v>
      </c>
    </row>
    <row r="300" spans="1:14" x14ac:dyDescent="0.25">
      <c r="A300" s="13"/>
      <c r="B300" s="7"/>
      <c r="C300" s="1" t="s">
        <v>222</v>
      </c>
      <c r="D300" s="135">
        <v>0</v>
      </c>
      <c r="E300" s="135"/>
      <c r="F300" s="135">
        <v>0</v>
      </c>
      <c r="G300" s="135"/>
      <c r="H300" s="135">
        <v>0</v>
      </c>
      <c r="I300" s="135">
        <v>0</v>
      </c>
      <c r="J300" s="135"/>
      <c r="K300" s="135">
        <v>0</v>
      </c>
      <c r="L300" s="135">
        <v>0</v>
      </c>
      <c r="M300" s="135"/>
      <c r="N300" s="135">
        <v>0</v>
      </c>
    </row>
    <row r="301" spans="1:14" x14ac:dyDescent="0.25">
      <c r="A301" s="13"/>
      <c r="B301" s="7"/>
      <c r="C301" s="1" t="s">
        <v>219</v>
      </c>
      <c r="D301" s="135">
        <v>0</v>
      </c>
      <c r="E301" s="135"/>
      <c r="F301" s="135">
        <v>0</v>
      </c>
      <c r="G301" s="135"/>
      <c r="H301" s="135">
        <v>0</v>
      </c>
      <c r="I301" s="135">
        <v>0</v>
      </c>
      <c r="J301" s="135"/>
      <c r="K301" s="135">
        <v>0</v>
      </c>
      <c r="L301" s="135">
        <v>0</v>
      </c>
      <c r="M301" s="135"/>
      <c r="N301" s="135">
        <v>0</v>
      </c>
    </row>
    <row r="302" spans="1:14" x14ac:dyDescent="0.25">
      <c r="A302" s="13"/>
      <c r="B302" s="7"/>
      <c r="C302" s="3" t="s">
        <v>171</v>
      </c>
      <c r="D302" s="135">
        <v>0</v>
      </c>
      <c r="E302" s="135"/>
      <c r="F302" s="135">
        <v>0</v>
      </c>
      <c r="G302" s="135"/>
      <c r="H302" s="135">
        <v>0</v>
      </c>
      <c r="I302" s="135">
        <v>503.3</v>
      </c>
      <c r="J302" s="154"/>
      <c r="K302" s="135">
        <f>200+303.3</f>
        <v>503.3</v>
      </c>
      <c r="L302" s="135">
        <v>0</v>
      </c>
      <c r="M302" s="135"/>
      <c r="N302" s="135">
        <v>0</v>
      </c>
    </row>
    <row r="303" spans="1:14" ht="26.25" x14ac:dyDescent="0.25">
      <c r="A303" s="7" t="s">
        <v>289</v>
      </c>
      <c r="B303" s="13"/>
      <c r="C303" s="14" t="s">
        <v>290</v>
      </c>
      <c r="D303" s="135">
        <v>2428.1999999999998</v>
      </c>
      <c r="E303" s="135">
        <f>E304</f>
        <v>0</v>
      </c>
      <c r="F303" s="135">
        <f>F304</f>
        <v>2895.3999999999996</v>
      </c>
      <c r="G303" s="154">
        <f>G304</f>
        <v>100</v>
      </c>
      <c r="H303" s="135">
        <f>H304</f>
        <v>2995.3999999999996</v>
      </c>
      <c r="I303" s="135">
        <v>0</v>
      </c>
      <c r="J303" s="135"/>
      <c r="K303" s="135">
        <v>0</v>
      </c>
      <c r="L303" s="135">
        <v>0</v>
      </c>
      <c r="M303" s="135"/>
      <c r="N303" s="135">
        <v>0</v>
      </c>
    </row>
    <row r="304" spans="1:14" ht="26.25" x14ac:dyDescent="0.25">
      <c r="A304" s="7"/>
      <c r="B304" s="7" t="s">
        <v>608</v>
      </c>
      <c r="C304" s="3" t="s">
        <v>609</v>
      </c>
      <c r="D304" s="135">
        <v>2428.1999999999998</v>
      </c>
      <c r="E304" s="135"/>
      <c r="F304" s="135">
        <v>2895.3999999999996</v>
      </c>
      <c r="G304" s="154">
        <v>100</v>
      </c>
      <c r="H304" s="135">
        <f>SUM(F304:G304)</f>
        <v>2995.3999999999996</v>
      </c>
      <c r="I304" s="135">
        <v>0</v>
      </c>
      <c r="J304" s="135"/>
      <c r="K304" s="135">
        <v>0</v>
      </c>
      <c r="L304" s="135">
        <v>0</v>
      </c>
      <c r="M304" s="135"/>
      <c r="N304" s="135">
        <v>0</v>
      </c>
    </row>
    <row r="305" spans="1:14" ht="26.25" x14ac:dyDescent="0.25">
      <c r="A305" s="7" t="s">
        <v>770</v>
      </c>
      <c r="B305" s="7"/>
      <c r="C305" s="3" t="s">
        <v>814</v>
      </c>
      <c r="D305" s="135"/>
      <c r="E305" s="135"/>
      <c r="F305" s="135">
        <f>F306</f>
        <v>1364</v>
      </c>
      <c r="G305" s="135"/>
      <c r="H305" s="135">
        <f>H306</f>
        <v>1364</v>
      </c>
      <c r="I305" s="135">
        <v>0</v>
      </c>
      <c r="J305" s="135"/>
      <c r="K305" s="135">
        <v>0</v>
      </c>
      <c r="L305" s="135">
        <v>0</v>
      </c>
      <c r="M305" s="135"/>
      <c r="N305" s="135">
        <v>0</v>
      </c>
    </row>
    <row r="306" spans="1:14" ht="26.25" x14ac:dyDescent="0.25">
      <c r="A306" s="7"/>
      <c r="B306" s="7" t="s">
        <v>608</v>
      </c>
      <c r="C306" s="3" t="s">
        <v>609</v>
      </c>
      <c r="D306" s="135"/>
      <c r="E306" s="135"/>
      <c r="F306" s="135">
        <v>1364</v>
      </c>
      <c r="G306" s="135"/>
      <c r="H306" s="135">
        <f>SUM(F306:G306)</f>
        <v>1364</v>
      </c>
      <c r="I306" s="135">
        <v>0</v>
      </c>
      <c r="J306" s="135"/>
      <c r="K306" s="135">
        <v>0</v>
      </c>
      <c r="L306" s="135">
        <v>0</v>
      </c>
      <c r="M306" s="135"/>
      <c r="N306" s="135">
        <v>0</v>
      </c>
    </row>
    <row r="307" spans="1:14" ht="25.5" x14ac:dyDescent="0.25">
      <c r="A307" s="80" t="s">
        <v>795</v>
      </c>
      <c r="B307" s="1"/>
      <c r="C307" s="1" t="s">
        <v>796</v>
      </c>
      <c r="D307" s="135"/>
      <c r="E307" s="135"/>
      <c r="F307" s="135">
        <v>0</v>
      </c>
      <c r="G307" s="135"/>
      <c r="H307" s="135">
        <v>0</v>
      </c>
      <c r="I307" s="135">
        <v>5000</v>
      </c>
      <c r="J307" s="135"/>
      <c r="K307" s="135">
        <v>5000</v>
      </c>
      <c r="L307" s="135">
        <v>0</v>
      </c>
      <c r="M307" s="135"/>
      <c r="N307" s="135">
        <v>0</v>
      </c>
    </row>
    <row r="308" spans="1:14" s="44" customFormat="1" ht="26.25" x14ac:dyDescent="0.25">
      <c r="A308" s="7"/>
      <c r="B308" s="13"/>
      <c r="C308" s="14" t="s">
        <v>790</v>
      </c>
      <c r="D308" s="154">
        <f>D309</f>
        <v>0</v>
      </c>
      <c r="E308" s="154">
        <f>E309</f>
        <v>0</v>
      </c>
      <c r="F308" s="154">
        <f>F309</f>
        <v>0</v>
      </c>
      <c r="G308" s="154"/>
      <c r="H308" s="154">
        <f>H309</f>
        <v>0</v>
      </c>
      <c r="I308" s="154">
        <f>I309</f>
        <v>5000</v>
      </c>
      <c r="J308" s="154"/>
      <c r="K308" s="154">
        <f>K309</f>
        <v>5000</v>
      </c>
      <c r="L308" s="154">
        <v>0</v>
      </c>
      <c r="M308" s="154"/>
      <c r="N308" s="154">
        <v>0</v>
      </c>
    </row>
    <row r="309" spans="1:14" s="44" customFormat="1" ht="26.25" x14ac:dyDescent="0.25">
      <c r="A309" s="7"/>
      <c r="B309" s="24" t="s">
        <v>362</v>
      </c>
      <c r="C309" s="3" t="s">
        <v>363</v>
      </c>
      <c r="D309" s="154">
        <v>0</v>
      </c>
      <c r="E309" s="154">
        <f>E310</f>
        <v>0</v>
      </c>
      <c r="F309" s="154">
        <f>F310</f>
        <v>0</v>
      </c>
      <c r="G309" s="154"/>
      <c r="H309" s="154">
        <f>H310</f>
        <v>0</v>
      </c>
      <c r="I309" s="154">
        <f>I310</f>
        <v>5000</v>
      </c>
      <c r="J309" s="154"/>
      <c r="K309" s="154">
        <f>K310</f>
        <v>5000</v>
      </c>
      <c r="L309" s="154">
        <v>0</v>
      </c>
      <c r="M309" s="154"/>
      <c r="N309" s="154">
        <v>0</v>
      </c>
    </row>
    <row r="310" spans="1:14" x14ac:dyDescent="0.25">
      <c r="A310" s="13"/>
      <c r="B310" s="7"/>
      <c r="C310" s="3" t="s">
        <v>171</v>
      </c>
      <c r="D310" s="135">
        <v>0</v>
      </c>
      <c r="E310" s="135"/>
      <c r="F310" s="135">
        <v>0</v>
      </c>
      <c r="G310" s="135"/>
      <c r="H310" s="135">
        <v>0</v>
      </c>
      <c r="I310" s="135">
        <v>5000</v>
      </c>
      <c r="J310" s="135"/>
      <c r="K310" s="135">
        <v>5000</v>
      </c>
      <c r="L310" s="135">
        <v>0</v>
      </c>
      <c r="M310" s="135"/>
      <c r="N310" s="135">
        <v>0</v>
      </c>
    </row>
    <row r="311" spans="1:14" s="59" customFormat="1" ht="25.5" x14ac:dyDescent="0.25">
      <c r="A311" s="15" t="s">
        <v>291</v>
      </c>
      <c r="B311" s="15"/>
      <c r="C311" s="16" t="s">
        <v>292</v>
      </c>
      <c r="D311" s="140">
        <v>0</v>
      </c>
      <c r="E311" s="140">
        <f>E312+E315</f>
        <v>0.15789</v>
      </c>
      <c r="F311" s="140">
        <f>F312+F315</f>
        <v>0.15789</v>
      </c>
      <c r="G311" s="140"/>
      <c r="H311" s="140">
        <f>H312+H315</f>
        <v>0.15789</v>
      </c>
      <c r="I311" s="140">
        <v>0</v>
      </c>
      <c r="J311" s="140"/>
      <c r="K311" s="140">
        <v>0</v>
      </c>
      <c r="L311" s="140">
        <v>0</v>
      </c>
      <c r="M311" s="140"/>
      <c r="N311" s="140">
        <v>0</v>
      </c>
    </row>
    <row r="312" spans="1:14" ht="25.5" x14ac:dyDescent="0.25">
      <c r="A312" s="17" t="s">
        <v>780</v>
      </c>
      <c r="B312" s="17"/>
      <c r="C312" s="8" t="s">
        <v>779</v>
      </c>
      <c r="D312" s="135">
        <v>0</v>
      </c>
      <c r="E312" s="135">
        <f>E313</f>
        <v>5.2630000000000003E-2</v>
      </c>
      <c r="F312" s="135">
        <f>F313</f>
        <v>5.2630000000000003E-2</v>
      </c>
      <c r="G312" s="135"/>
      <c r="H312" s="135">
        <f>H313</f>
        <v>5.2630000000000003E-2</v>
      </c>
      <c r="I312" s="135">
        <v>0</v>
      </c>
      <c r="J312" s="135"/>
      <c r="K312" s="135">
        <v>0</v>
      </c>
      <c r="L312" s="135">
        <v>0</v>
      </c>
      <c r="M312" s="135"/>
      <c r="N312" s="135">
        <v>0</v>
      </c>
    </row>
    <row r="313" spans="1:14" ht="25.5" x14ac:dyDescent="0.25">
      <c r="A313" s="18"/>
      <c r="B313" s="17" t="s">
        <v>608</v>
      </c>
      <c r="C313" s="1" t="s">
        <v>609</v>
      </c>
      <c r="D313" s="135"/>
      <c r="E313" s="135">
        <f>E314</f>
        <v>5.2630000000000003E-2</v>
      </c>
      <c r="F313" s="135">
        <f>F314</f>
        <v>5.2630000000000003E-2</v>
      </c>
      <c r="G313" s="135"/>
      <c r="H313" s="135">
        <f>H314</f>
        <v>5.2630000000000003E-2</v>
      </c>
      <c r="I313" s="135">
        <v>0</v>
      </c>
      <c r="J313" s="135"/>
      <c r="K313" s="135">
        <v>0</v>
      </c>
      <c r="L313" s="135">
        <v>0</v>
      </c>
      <c r="M313" s="135"/>
      <c r="N313" s="135">
        <v>0</v>
      </c>
    </row>
    <row r="314" spans="1:14" x14ac:dyDescent="0.25">
      <c r="A314" s="18"/>
      <c r="B314" s="17"/>
      <c r="C314" s="3" t="s">
        <v>171</v>
      </c>
      <c r="D314" s="135">
        <v>0</v>
      </c>
      <c r="E314" s="135">
        <v>5.2630000000000003E-2</v>
      </c>
      <c r="F314" s="135">
        <v>5.2630000000000003E-2</v>
      </c>
      <c r="G314" s="135"/>
      <c r="H314" s="135">
        <v>5.2630000000000003E-2</v>
      </c>
      <c r="I314" s="135">
        <v>0</v>
      </c>
      <c r="J314" s="135"/>
      <c r="K314" s="135">
        <v>0</v>
      </c>
      <c r="L314" s="135">
        <v>0</v>
      </c>
      <c r="M314" s="135"/>
      <c r="N314" s="135">
        <v>0</v>
      </c>
    </row>
    <row r="315" spans="1:14" x14ac:dyDescent="0.25">
      <c r="A315" s="17" t="s">
        <v>781</v>
      </c>
      <c r="B315" s="17"/>
      <c r="C315" s="8" t="s">
        <v>782</v>
      </c>
      <c r="D315" s="135">
        <v>0</v>
      </c>
      <c r="E315" s="135">
        <f>E316</f>
        <v>0.10526000000000001</v>
      </c>
      <c r="F315" s="135">
        <f>F316</f>
        <v>0.10526000000000001</v>
      </c>
      <c r="G315" s="135"/>
      <c r="H315" s="135">
        <f>H316</f>
        <v>0.10526000000000001</v>
      </c>
      <c r="I315" s="135">
        <v>0</v>
      </c>
      <c r="J315" s="135"/>
      <c r="K315" s="135">
        <v>0</v>
      </c>
      <c r="L315" s="135">
        <v>0</v>
      </c>
      <c r="M315" s="135"/>
      <c r="N315" s="135">
        <v>0</v>
      </c>
    </row>
    <row r="316" spans="1:14" ht="25.5" x14ac:dyDescent="0.25">
      <c r="A316" s="18"/>
      <c r="B316" s="17" t="s">
        <v>608</v>
      </c>
      <c r="C316" s="1" t="s">
        <v>609</v>
      </c>
      <c r="D316" s="135"/>
      <c r="E316" s="135">
        <f>E317</f>
        <v>0.10526000000000001</v>
      </c>
      <c r="F316" s="135">
        <f>F317</f>
        <v>0.10526000000000001</v>
      </c>
      <c r="G316" s="135"/>
      <c r="H316" s="135">
        <f>H317</f>
        <v>0.10526000000000001</v>
      </c>
      <c r="I316" s="135">
        <v>0</v>
      </c>
      <c r="J316" s="135"/>
      <c r="K316" s="135">
        <v>0</v>
      </c>
      <c r="L316" s="135">
        <v>0</v>
      </c>
      <c r="M316" s="135"/>
      <c r="N316" s="135">
        <v>0</v>
      </c>
    </row>
    <row r="317" spans="1:14" x14ac:dyDescent="0.25">
      <c r="A317" s="18"/>
      <c r="B317" s="17"/>
      <c r="C317" s="3" t="s">
        <v>171</v>
      </c>
      <c r="D317" s="135">
        <v>0</v>
      </c>
      <c r="E317" s="135">
        <v>0.10526000000000001</v>
      </c>
      <c r="F317" s="135">
        <v>0.10526000000000001</v>
      </c>
      <c r="G317" s="135"/>
      <c r="H317" s="135">
        <v>0.10526000000000001</v>
      </c>
      <c r="I317" s="135">
        <v>0</v>
      </c>
      <c r="J317" s="135"/>
      <c r="K317" s="135">
        <v>0</v>
      </c>
      <c r="L317" s="135">
        <v>0</v>
      </c>
      <c r="M317" s="135"/>
      <c r="N317" s="135">
        <v>0</v>
      </c>
    </row>
    <row r="318" spans="1:14" x14ac:dyDescent="0.25">
      <c r="A318" s="34" t="s">
        <v>293</v>
      </c>
      <c r="B318" s="34"/>
      <c r="C318" s="35" t="s">
        <v>294</v>
      </c>
      <c r="D318" s="139">
        <f>D319</f>
        <v>307</v>
      </c>
      <c r="E318" s="139"/>
      <c r="F318" s="139">
        <f>F319</f>
        <v>307</v>
      </c>
      <c r="G318" s="139"/>
      <c r="H318" s="139">
        <f>H319</f>
        <v>307</v>
      </c>
      <c r="I318" s="139">
        <f>I319</f>
        <v>307</v>
      </c>
      <c r="J318" s="139"/>
      <c r="K318" s="139">
        <f>K319</f>
        <v>307</v>
      </c>
      <c r="L318" s="139">
        <f>L319</f>
        <v>307</v>
      </c>
      <c r="M318" s="139"/>
      <c r="N318" s="139">
        <f>N319</f>
        <v>307</v>
      </c>
    </row>
    <row r="319" spans="1:14" ht="26.25" x14ac:dyDescent="0.25">
      <c r="A319" s="36" t="s">
        <v>295</v>
      </c>
      <c r="B319" s="36"/>
      <c r="C319" s="37" t="s">
        <v>296</v>
      </c>
      <c r="D319" s="131">
        <f>D320+D322</f>
        <v>307</v>
      </c>
      <c r="E319" s="131"/>
      <c r="F319" s="131">
        <f>F320+F322</f>
        <v>307</v>
      </c>
      <c r="G319" s="131"/>
      <c r="H319" s="131">
        <f>H320+H322</f>
        <v>307</v>
      </c>
      <c r="I319" s="131">
        <f>I320+I322</f>
        <v>307</v>
      </c>
      <c r="J319" s="131"/>
      <c r="K319" s="131">
        <f>K320+K322</f>
        <v>307</v>
      </c>
      <c r="L319" s="131">
        <f>L320+L322</f>
        <v>307</v>
      </c>
      <c r="M319" s="131"/>
      <c r="N319" s="131">
        <f>N320+N322</f>
        <v>307</v>
      </c>
    </row>
    <row r="320" spans="1:14" ht="90" x14ac:dyDescent="0.25">
      <c r="A320" s="7" t="s">
        <v>297</v>
      </c>
      <c r="B320" s="7"/>
      <c r="C320" s="3" t="s">
        <v>298</v>
      </c>
      <c r="D320" s="130">
        <v>157</v>
      </c>
      <c r="E320" s="130"/>
      <c r="F320" s="130">
        <v>157</v>
      </c>
      <c r="G320" s="130"/>
      <c r="H320" s="130">
        <v>157</v>
      </c>
      <c r="I320" s="130">
        <v>157</v>
      </c>
      <c r="J320" s="130"/>
      <c r="K320" s="130">
        <v>157</v>
      </c>
      <c r="L320" s="130">
        <v>157</v>
      </c>
      <c r="M320" s="130"/>
      <c r="N320" s="130">
        <v>157</v>
      </c>
    </row>
    <row r="321" spans="1:14" ht="26.25" x14ac:dyDescent="0.25">
      <c r="A321" s="7"/>
      <c r="B321" s="7" t="s">
        <v>608</v>
      </c>
      <c r="C321" s="3" t="s">
        <v>609</v>
      </c>
      <c r="D321" s="130">
        <v>157</v>
      </c>
      <c r="E321" s="130"/>
      <c r="F321" s="130">
        <v>157</v>
      </c>
      <c r="G321" s="130"/>
      <c r="H321" s="130">
        <v>157</v>
      </c>
      <c r="I321" s="130">
        <v>157</v>
      </c>
      <c r="J321" s="130"/>
      <c r="K321" s="130">
        <v>157</v>
      </c>
      <c r="L321" s="130">
        <v>157</v>
      </c>
      <c r="M321" s="130"/>
      <c r="N321" s="130">
        <v>157</v>
      </c>
    </row>
    <row r="322" spans="1:14" x14ac:dyDescent="0.25">
      <c r="A322" s="17" t="s">
        <v>299</v>
      </c>
      <c r="B322" s="17"/>
      <c r="C322" s="1" t="s">
        <v>300</v>
      </c>
      <c r="D322" s="130">
        <v>150</v>
      </c>
      <c r="E322" s="130"/>
      <c r="F322" s="130">
        <v>150</v>
      </c>
      <c r="G322" s="130"/>
      <c r="H322" s="130">
        <v>150</v>
      </c>
      <c r="I322" s="130">
        <v>150</v>
      </c>
      <c r="J322" s="130"/>
      <c r="K322" s="130">
        <v>150</v>
      </c>
      <c r="L322" s="130">
        <v>150</v>
      </c>
      <c r="M322" s="130"/>
      <c r="N322" s="130">
        <v>150</v>
      </c>
    </row>
    <row r="323" spans="1:14" ht="26.25" x14ac:dyDescent="0.25">
      <c r="A323" s="17"/>
      <c r="B323" s="7" t="s">
        <v>608</v>
      </c>
      <c r="C323" s="3" t="s">
        <v>609</v>
      </c>
      <c r="D323" s="130">
        <v>150</v>
      </c>
      <c r="E323" s="130"/>
      <c r="F323" s="130">
        <v>150</v>
      </c>
      <c r="G323" s="130"/>
      <c r="H323" s="130">
        <v>150</v>
      </c>
      <c r="I323" s="130">
        <v>150</v>
      </c>
      <c r="J323" s="130"/>
      <c r="K323" s="130">
        <v>150</v>
      </c>
      <c r="L323" s="130">
        <v>150</v>
      </c>
      <c r="M323" s="130"/>
      <c r="N323" s="130">
        <v>150</v>
      </c>
    </row>
    <row r="324" spans="1:14" x14ac:dyDescent="0.25">
      <c r="A324" s="7"/>
      <c r="B324" s="7"/>
      <c r="C324" s="1" t="s">
        <v>219</v>
      </c>
      <c r="D324" s="130">
        <v>0</v>
      </c>
      <c r="E324" s="130"/>
      <c r="F324" s="130">
        <v>0</v>
      </c>
      <c r="G324" s="130"/>
      <c r="H324" s="130">
        <v>0</v>
      </c>
      <c r="I324" s="130">
        <v>0</v>
      </c>
      <c r="J324" s="130"/>
      <c r="K324" s="130">
        <v>0</v>
      </c>
      <c r="L324" s="130">
        <v>0</v>
      </c>
      <c r="M324" s="130"/>
      <c r="N324" s="130">
        <v>0</v>
      </c>
    </row>
    <row r="325" spans="1:14" x14ac:dyDescent="0.25">
      <c r="A325" s="7"/>
      <c r="B325" s="7"/>
      <c r="C325" s="1" t="s">
        <v>171</v>
      </c>
      <c r="D325" s="130">
        <v>150</v>
      </c>
      <c r="E325" s="130"/>
      <c r="F325" s="130">
        <v>150</v>
      </c>
      <c r="G325" s="130"/>
      <c r="H325" s="130">
        <v>150</v>
      </c>
      <c r="I325" s="130">
        <v>150</v>
      </c>
      <c r="J325" s="130"/>
      <c r="K325" s="130">
        <v>150</v>
      </c>
      <c r="L325" s="130">
        <v>150</v>
      </c>
      <c r="M325" s="130"/>
      <c r="N325" s="130">
        <v>150</v>
      </c>
    </row>
    <row r="326" spans="1:14" x14ac:dyDescent="0.25">
      <c r="A326" s="34" t="s">
        <v>301</v>
      </c>
      <c r="B326" s="34"/>
      <c r="C326" s="35" t="s">
        <v>302</v>
      </c>
      <c r="D326" s="139">
        <f t="shared" ref="D326:N327" si="27">D327</f>
        <v>1368.8</v>
      </c>
      <c r="E326" s="139"/>
      <c r="F326" s="139">
        <f t="shared" si="27"/>
        <v>1368.8</v>
      </c>
      <c r="G326" s="139"/>
      <c r="H326" s="139">
        <f t="shared" si="27"/>
        <v>1368.8</v>
      </c>
      <c r="I326" s="139">
        <f t="shared" si="27"/>
        <v>1368.8</v>
      </c>
      <c r="J326" s="139"/>
      <c r="K326" s="139">
        <f t="shared" si="27"/>
        <v>1368.8</v>
      </c>
      <c r="L326" s="139">
        <f t="shared" si="27"/>
        <v>1368.8</v>
      </c>
      <c r="M326" s="139"/>
      <c r="N326" s="139">
        <f t="shared" si="27"/>
        <v>1368.8</v>
      </c>
    </row>
    <row r="327" spans="1:14" ht="51.75" x14ac:dyDescent="0.25">
      <c r="A327" s="36" t="s">
        <v>303</v>
      </c>
      <c r="B327" s="36"/>
      <c r="C327" s="37" t="s">
        <v>304</v>
      </c>
      <c r="D327" s="131">
        <f t="shared" si="27"/>
        <v>1368.8</v>
      </c>
      <c r="E327" s="131"/>
      <c r="F327" s="131">
        <f t="shared" si="27"/>
        <v>1368.8</v>
      </c>
      <c r="G327" s="131"/>
      <c r="H327" s="131">
        <f t="shared" si="27"/>
        <v>1368.8</v>
      </c>
      <c r="I327" s="131">
        <f t="shared" si="27"/>
        <v>1368.8</v>
      </c>
      <c r="J327" s="131"/>
      <c r="K327" s="131">
        <f t="shared" si="27"/>
        <v>1368.8</v>
      </c>
      <c r="L327" s="131">
        <f t="shared" si="27"/>
        <v>1368.8</v>
      </c>
      <c r="M327" s="131"/>
      <c r="N327" s="131">
        <f t="shared" si="27"/>
        <v>1368.8</v>
      </c>
    </row>
    <row r="328" spans="1:14" ht="26.25" x14ac:dyDescent="0.25">
      <c r="A328" s="7" t="s">
        <v>305</v>
      </c>
      <c r="B328" s="7"/>
      <c r="C328" s="3" t="s">
        <v>749</v>
      </c>
      <c r="D328" s="130">
        <f>1396.2-27.4</f>
        <v>1368.8</v>
      </c>
      <c r="E328" s="130"/>
      <c r="F328" s="130">
        <f>1396.2-27.4</f>
        <v>1368.8</v>
      </c>
      <c r="G328" s="130"/>
      <c r="H328" s="130">
        <f>1396.2-27.4</f>
        <v>1368.8</v>
      </c>
      <c r="I328" s="130">
        <f>1452-83.2</f>
        <v>1368.8</v>
      </c>
      <c r="J328" s="130"/>
      <c r="K328" s="130">
        <f>1452-83.2</f>
        <v>1368.8</v>
      </c>
      <c r="L328" s="130">
        <f>1510.1-141.3</f>
        <v>1368.8</v>
      </c>
      <c r="M328" s="130"/>
      <c r="N328" s="130">
        <f>1510.1-141.3</f>
        <v>1368.8</v>
      </c>
    </row>
    <row r="329" spans="1:14" ht="26.25" x14ac:dyDescent="0.25">
      <c r="A329" s="7"/>
      <c r="B329" s="7" t="s">
        <v>608</v>
      </c>
      <c r="C329" s="3" t="s">
        <v>609</v>
      </c>
      <c r="D329" s="130">
        <f>1396.2-27.4</f>
        <v>1368.8</v>
      </c>
      <c r="E329" s="130"/>
      <c r="F329" s="130">
        <f>1396.2-27.4</f>
        <v>1368.8</v>
      </c>
      <c r="G329" s="130"/>
      <c r="H329" s="130">
        <f>1396.2-27.4</f>
        <v>1368.8</v>
      </c>
      <c r="I329" s="130">
        <f>1452-83.2</f>
        <v>1368.8</v>
      </c>
      <c r="J329" s="130"/>
      <c r="K329" s="130">
        <f>1452-83.2</f>
        <v>1368.8</v>
      </c>
      <c r="L329" s="130">
        <f>1510.1-141.3</f>
        <v>1368.8</v>
      </c>
      <c r="M329" s="130"/>
      <c r="N329" s="130">
        <f>1510.1-141.3</f>
        <v>1368.8</v>
      </c>
    </row>
    <row r="330" spans="1:14" ht="26.25" x14ac:dyDescent="0.25">
      <c r="A330" s="32" t="s">
        <v>306</v>
      </c>
      <c r="B330" s="32"/>
      <c r="C330" s="40" t="s">
        <v>307</v>
      </c>
      <c r="D330" s="132" t="e">
        <f>D331+D337+D344</f>
        <v>#REF!</v>
      </c>
      <c r="E330" s="132"/>
      <c r="F330" s="132">
        <f>F331+F337+F344</f>
        <v>5222.21</v>
      </c>
      <c r="G330" s="132">
        <f>G331+G337+G344</f>
        <v>-26.27327</v>
      </c>
      <c r="H330" s="132">
        <f>H331+H337+H344</f>
        <v>5195.9367299999994</v>
      </c>
      <c r="I330" s="132">
        <f>I331+I337+I344</f>
        <v>3592.8</v>
      </c>
      <c r="J330" s="132"/>
      <c r="K330" s="132">
        <f>K331+K337+K344</f>
        <v>3592.8</v>
      </c>
      <c r="L330" s="132">
        <f>L331+L337+L344</f>
        <v>6760.8</v>
      </c>
      <c r="M330" s="132"/>
      <c r="N330" s="132">
        <f>N331+N337+N344</f>
        <v>6760.8</v>
      </c>
    </row>
    <row r="331" spans="1:14" ht="39" x14ac:dyDescent="0.25">
      <c r="A331" s="36" t="s">
        <v>308</v>
      </c>
      <c r="B331" s="39"/>
      <c r="C331" s="37" t="s">
        <v>309</v>
      </c>
      <c r="D331" s="131" t="e">
        <f>D332+D334</f>
        <v>#REF!</v>
      </c>
      <c r="E331" s="131"/>
      <c r="F331" s="131">
        <f>F332+F334</f>
        <v>1662.31</v>
      </c>
      <c r="G331" s="131">
        <f>G332+G334</f>
        <v>0</v>
      </c>
      <c r="H331" s="131">
        <f>H332+H334</f>
        <v>1662.31</v>
      </c>
      <c r="I331" s="131">
        <f>I332</f>
        <v>1760.8</v>
      </c>
      <c r="J331" s="131"/>
      <c r="K331" s="131">
        <f>K332</f>
        <v>1760.8</v>
      </c>
      <c r="L331" s="131">
        <f>L332</f>
        <v>1760.8</v>
      </c>
      <c r="M331" s="131"/>
      <c r="N331" s="131">
        <f>N332</f>
        <v>1760.8</v>
      </c>
    </row>
    <row r="332" spans="1:14" ht="51.75" x14ac:dyDescent="0.25">
      <c r="A332" s="7" t="s">
        <v>310</v>
      </c>
      <c r="B332" s="7"/>
      <c r="C332" s="3" t="s">
        <v>837</v>
      </c>
      <c r="D332" s="130">
        <f>D333</f>
        <v>1834</v>
      </c>
      <c r="E332" s="130"/>
      <c r="F332" s="130">
        <f>F333</f>
        <v>1553.5</v>
      </c>
      <c r="G332" s="130">
        <f>G333</f>
        <v>0</v>
      </c>
      <c r="H332" s="130">
        <f>H333</f>
        <v>1553.5</v>
      </c>
      <c r="I332" s="130">
        <v>1760.8</v>
      </c>
      <c r="J332" s="130"/>
      <c r="K332" s="130">
        <v>1760.8</v>
      </c>
      <c r="L332" s="130">
        <v>1760.8</v>
      </c>
      <c r="M332" s="130"/>
      <c r="N332" s="130">
        <v>1760.8</v>
      </c>
    </row>
    <row r="333" spans="1:14" ht="26.25" x14ac:dyDescent="0.25">
      <c r="A333" s="7"/>
      <c r="B333" s="7" t="s">
        <v>608</v>
      </c>
      <c r="C333" s="3" t="s">
        <v>609</v>
      </c>
      <c r="D333" s="130">
        <v>1834</v>
      </c>
      <c r="E333" s="130"/>
      <c r="F333" s="130">
        <v>1553.5</v>
      </c>
      <c r="G333" s="130"/>
      <c r="H333" s="130">
        <f>1834-280.5</f>
        <v>1553.5</v>
      </c>
      <c r="I333" s="130">
        <v>1760.8</v>
      </c>
      <c r="J333" s="130"/>
      <c r="K333" s="130">
        <v>1760.8</v>
      </c>
      <c r="L333" s="130">
        <v>1760.8</v>
      </c>
      <c r="M333" s="130"/>
      <c r="N333" s="130">
        <v>1760.8</v>
      </c>
    </row>
    <row r="334" spans="1:14" x14ac:dyDescent="0.25">
      <c r="A334" s="7" t="s">
        <v>762</v>
      </c>
      <c r="B334" s="7"/>
      <c r="C334" s="3" t="s">
        <v>763</v>
      </c>
      <c r="D334" s="130" t="e">
        <f>D335</f>
        <v>#REF!</v>
      </c>
      <c r="E334" s="130"/>
      <c r="F334" s="130">
        <f t="shared" ref="F334:H335" si="28">F335</f>
        <v>108.81</v>
      </c>
      <c r="G334" s="130">
        <f t="shared" si="28"/>
        <v>0</v>
      </c>
      <c r="H334" s="130">
        <f t="shared" si="28"/>
        <v>108.81</v>
      </c>
      <c r="I334" s="130">
        <v>0</v>
      </c>
      <c r="J334" s="130"/>
      <c r="K334" s="130">
        <v>0</v>
      </c>
      <c r="L334" s="130">
        <v>0</v>
      </c>
      <c r="M334" s="130"/>
      <c r="N334" s="130">
        <v>0</v>
      </c>
    </row>
    <row r="335" spans="1:14" ht="26.25" x14ac:dyDescent="0.25">
      <c r="A335" s="7"/>
      <c r="B335" s="7" t="s">
        <v>608</v>
      </c>
      <c r="C335" s="3" t="s">
        <v>609</v>
      </c>
      <c r="D335" s="130" t="e">
        <f>#REF!</f>
        <v>#REF!</v>
      </c>
      <c r="E335" s="130"/>
      <c r="F335" s="130">
        <f t="shared" si="28"/>
        <v>108.81</v>
      </c>
      <c r="G335" s="130">
        <f t="shared" si="28"/>
        <v>0</v>
      </c>
      <c r="H335" s="130">
        <f t="shared" si="28"/>
        <v>108.81</v>
      </c>
      <c r="I335" s="130">
        <v>0</v>
      </c>
      <c r="J335" s="130"/>
      <c r="K335" s="130">
        <v>0</v>
      </c>
      <c r="L335" s="130">
        <v>0</v>
      </c>
      <c r="M335" s="130"/>
      <c r="N335" s="130">
        <v>0</v>
      </c>
    </row>
    <row r="336" spans="1:14" x14ac:dyDescent="0.25">
      <c r="A336" s="7"/>
      <c r="B336" s="7"/>
      <c r="C336" s="1" t="s">
        <v>171</v>
      </c>
      <c r="D336" s="130">
        <v>100.91200000000001</v>
      </c>
      <c r="E336" s="130"/>
      <c r="F336" s="130">
        <v>108.81</v>
      </c>
      <c r="G336" s="146"/>
      <c r="H336" s="130">
        <f>SUM(F336:G336)</f>
        <v>108.81</v>
      </c>
      <c r="I336" s="130">
        <v>0</v>
      </c>
      <c r="J336" s="130"/>
      <c r="K336" s="130">
        <v>0</v>
      </c>
      <c r="L336" s="130">
        <v>0</v>
      </c>
      <c r="M336" s="130"/>
      <c r="N336" s="130">
        <v>0</v>
      </c>
    </row>
    <row r="337" spans="1:14" ht="39" x14ac:dyDescent="0.25">
      <c r="A337" s="36" t="s">
        <v>312</v>
      </c>
      <c r="B337" s="36"/>
      <c r="C337" s="37" t="s">
        <v>313</v>
      </c>
      <c r="D337" s="131">
        <f t="shared" ref="D337:H338" si="29">D338</f>
        <v>3500</v>
      </c>
      <c r="E337" s="131"/>
      <c r="F337" s="131">
        <f>F338+F342</f>
        <v>3559.9</v>
      </c>
      <c r="G337" s="131">
        <f t="shared" ref="G337:H337" si="30">G338+G342</f>
        <v>-26.27327</v>
      </c>
      <c r="H337" s="131">
        <f t="shared" si="30"/>
        <v>3533.62673</v>
      </c>
      <c r="I337" s="131">
        <f>I338</f>
        <v>1000</v>
      </c>
      <c r="J337" s="131"/>
      <c r="K337" s="131">
        <f>K338</f>
        <v>1000</v>
      </c>
      <c r="L337" s="131">
        <f>L338</f>
        <v>0</v>
      </c>
      <c r="M337" s="131"/>
      <c r="N337" s="131">
        <f>N338</f>
        <v>0</v>
      </c>
    </row>
    <row r="338" spans="1:14" ht="39" x14ac:dyDescent="0.25">
      <c r="A338" s="7" t="s">
        <v>314</v>
      </c>
      <c r="B338" s="7"/>
      <c r="C338" s="3" t="s">
        <v>315</v>
      </c>
      <c r="D338" s="130">
        <f t="shared" si="29"/>
        <v>3500</v>
      </c>
      <c r="E338" s="130"/>
      <c r="F338" s="130">
        <f t="shared" si="29"/>
        <v>3500</v>
      </c>
      <c r="G338" s="130">
        <f>G339</f>
        <v>-26.27327</v>
      </c>
      <c r="H338" s="130">
        <f t="shared" si="29"/>
        <v>3473.7267299999999</v>
      </c>
      <c r="I338" s="130">
        <f>I339</f>
        <v>1000</v>
      </c>
      <c r="J338" s="130"/>
      <c r="K338" s="130">
        <f>K339</f>
        <v>1000</v>
      </c>
      <c r="L338" s="130">
        <f>L339</f>
        <v>0</v>
      </c>
      <c r="M338" s="130"/>
      <c r="N338" s="130">
        <f>N339</f>
        <v>0</v>
      </c>
    </row>
    <row r="339" spans="1:14" ht="26.25" x14ac:dyDescent="0.25">
      <c r="A339" s="7"/>
      <c r="B339" s="7" t="s">
        <v>608</v>
      </c>
      <c r="C339" s="3" t="s">
        <v>609</v>
      </c>
      <c r="D339" s="130">
        <f>D340+D341</f>
        <v>3500</v>
      </c>
      <c r="E339" s="130"/>
      <c r="F339" s="130">
        <f>F340+F341</f>
        <v>3500</v>
      </c>
      <c r="G339" s="130">
        <f>G341</f>
        <v>-26.27327</v>
      </c>
      <c r="H339" s="130">
        <f>H340+H341</f>
        <v>3473.7267299999999</v>
      </c>
      <c r="I339" s="130">
        <f>I340+I341</f>
        <v>1000</v>
      </c>
      <c r="J339" s="130"/>
      <c r="K339" s="130">
        <f>K340+K341</f>
        <v>1000</v>
      </c>
      <c r="L339" s="130">
        <v>0</v>
      </c>
      <c r="M339" s="130"/>
      <c r="N339" s="130">
        <v>0</v>
      </c>
    </row>
    <row r="340" spans="1:14" x14ac:dyDescent="0.25">
      <c r="A340" s="7"/>
      <c r="B340" s="7"/>
      <c r="C340" s="3" t="s">
        <v>183</v>
      </c>
      <c r="D340" s="146">
        <v>2625</v>
      </c>
      <c r="E340" s="146"/>
      <c r="F340" s="146">
        <v>2625</v>
      </c>
      <c r="G340" s="146"/>
      <c r="H340" s="146">
        <v>2625</v>
      </c>
      <c r="I340" s="146"/>
      <c r="J340" s="146"/>
      <c r="K340" s="146"/>
      <c r="L340" s="146">
        <v>0</v>
      </c>
      <c r="M340" s="146"/>
      <c r="N340" s="146">
        <v>0</v>
      </c>
    </row>
    <row r="341" spans="1:14" x14ac:dyDescent="0.25">
      <c r="A341" s="7"/>
      <c r="B341" s="7"/>
      <c r="C341" s="3" t="s">
        <v>120</v>
      </c>
      <c r="D341" s="130">
        <v>875</v>
      </c>
      <c r="E341" s="130"/>
      <c r="F341" s="130">
        <v>875</v>
      </c>
      <c r="G341" s="130">
        <v>-26.27327</v>
      </c>
      <c r="H341" s="130">
        <f>F341+G341</f>
        <v>848.72672999999998</v>
      </c>
      <c r="I341" s="130">
        <v>1000</v>
      </c>
      <c r="J341" s="130"/>
      <c r="K341" s="130">
        <v>1000</v>
      </c>
      <c r="L341" s="130">
        <v>0</v>
      </c>
      <c r="M341" s="130"/>
      <c r="N341" s="130">
        <v>0</v>
      </c>
    </row>
    <row r="342" spans="1:14" ht="51.75" x14ac:dyDescent="0.25">
      <c r="A342" s="7" t="s">
        <v>836</v>
      </c>
      <c r="B342" s="7"/>
      <c r="C342" s="3" t="s">
        <v>835</v>
      </c>
      <c r="D342" s="130"/>
      <c r="E342" s="130"/>
      <c r="F342" s="130">
        <f t="shared" ref="F342:H342" si="31">F343</f>
        <v>59.9</v>
      </c>
      <c r="G342" s="130"/>
      <c r="H342" s="130">
        <f t="shared" si="31"/>
        <v>59.9</v>
      </c>
      <c r="I342" s="130"/>
      <c r="J342" s="130"/>
      <c r="K342" s="130">
        <v>0</v>
      </c>
      <c r="L342" s="130"/>
      <c r="M342" s="130"/>
      <c r="N342" s="130">
        <v>0</v>
      </c>
    </row>
    <row r="343" spans="1:14" ht="26.25" x14ac:dyDescent="0.25">
      <c r="A343" s="7"/>
      <c r="B343" s="7" t="s">
        <v>608</v>
      </c>
      <c r="C343" s="3" t="s">
        <v>609</v>
      </c>
      <c r="D343" s="130"/>
      <c r="E343" s="130"/>
      <c r="F343" s="130">
        <v>59.9</v>
      </c>
      <c r="G343" s="130"/>
      <c r="H343" s="130">
        <v>59.9</v>
      </c>
      <c r="I343" s="130"/>
      <c r="J343" s="130"/>
      <c r="K343" s="130">
        <v>0</v>
      </c>
      <c r="L343" s="130"/>
      <c r="M343" s="130"/>
      <c r="N343" s="130">
        <v>0</v>
      </c>
    </row>
    <row r="344" spans="1:14" ht="26.25" x14ac:dyDescent="0.25">
      <c r="A344" s="78" t="s">
        <v>562</v>
      </c>
      <c r="B344" s="78"/>
      <c r="C344" s="78" t="s">
        <v>563</v>
      </c>
      <c r="D344" s="131">
        <f>D345</f>
        <v>0</v>
      </c>
      <c r="E344" s="131"/>
      <c r="F344" s="131">
        <f>F345</f>
        <v>0</v>
      </c>
      <c r="G344" s="131"/>
      <c r="H344" s="131">
        <f>H345</f>
        <v>0</v>
      </c>
      <c r="I344" s="131">
        <f>I349+I345</f>
        <v>832</v>
      </c>
      <c r="J344" s="131"/>
      <c r="K344" s="131">
        <f>K349+K345</f>
        <v>832</v>
      </c>
      <c r="L344" s="131">
        <f>L349+L345</f>
        <v>5000</v>
      </c>
      <c r="M344" s="131"/>
      <c r="N344" s="131">
        <f>N349+N345</f>
        <v>5000</v>
      </c>
    </row>
    <row r="345" spans="1:14" ht="26.25" x14ac:dyDescent="0.25">
      <c r="A345" s="7" t="s">
        <v>564</v>
      </c>
      <c r="B345" s="7"/>
      <c r="C345" s="3" t="s">
        <v>316</v>
      </c>
      <c r="D345" s="130">
        <v>0</v>
      </c>
      <c r="E345" s="130"/>
      <c r="F345" s="130">
        <v>0</v>
      </c>
      <c r="G345" s="130"/>
      <c r="H345" s="130">
        <v>0</v>
      </c>
      <c r="I345" s="130">
        <v>0</v>
      </c>
      <c r="J345" s="130"/>
      <c r="K345" s="130">
        <v>0</v>
      </c>
      <c r="L345" s="130">
        <v>5000</v>
      </c>
      <c r="M345" s="130"/>
      <c r="N345" s="130">
        <v>5000</v>
      </c>
    </row>
    <row r="346" spans="1:14" ht="26.25" x14ac:dyDescent="0.25">
      <c r="A346" s="7"/>
      <c r="B346" s="7" t="s">
        <v>608</v>
      </c>
      <c r="C346" s="3" t="s">
        <v>609</v>
      </c>
      <c r="D346" s="130">
        <v>0</v>
      </c>
      <c r="E346" s="130"/>
      <c r="F346" s="130">
        <v>0</v>
      </c>
      <c r="G346" s="130"/>
      <c r="H346" s="130">
        <v>0</v>
      </c>
      <c r="I346" s="130">
        <v>0</v>
      </c>
      <c r="J346" s="130"/>
      <c r="K346" s="130">
        <v>0</v>
      </c>
      <c r="L346" s="130">
        <v>5000</v>
      </c>
      <c r="M346" s="130"/>
      <c r="N346" s="130">
        <v>5000</v>
      </c>
    </row>
    <row r="347" spans="1:14" x14ac:dyDescent="0.25">
      <c r="A347" s="7"/>
      <c r="B347" s="7"/>
      <c r="C347" s="3" t="s">
        <v>183</v>
      </c>
      <c r="D347" s="146">
        <v>0</v>
      </c>
      <c r="E347" s="146"/>
      <c r="F347" s="146">
        <v>0</v>
      </c>
      <c r="G347" s="146"/>
      <c r="H347" s="146">
        <v>0</v>
      </c>
      <c r="I347" s="146">
        <v>0</v>
      </c>
      <c r="J347" s="146"/>
      <c r="K347" s="146">
        <v>0</v>
      </c>
      <c r="L347" s="146">
        <v>0</v>
      </c>
      <c r="M347" s="146"/>
      <c r="N347" s="146">
        <v>0</v>
      </c>
    </row>
    <row r="348" spans="1:14" x14ac:dyDescent="0.25">
      <c r="A348" s="7"/>
      <c r="B348" s="7"/>
      <c r="C348" s="3" t="s">
        <v>120</v>
      </c>
      <c r="D348" s="130">
        <v>0</v>
      </c>
      <c r="E348" s="130"/>
      <c r="F348" s="130">
        <v>0</v>
      </c>
      <c r="G348" s="130"/>
      <c r="H348" s="130">
        <v>0</v>
      </c>
      <c r="I348" s="130">
        <v>0</v>
      </c>
      <c r="J348" s="130"/>
      <c r="K348" s="130">
        <v>0</v>
      </c>
      <c r="L348" s="130">
        <v>5000</v>
      </c>
      <c r="M348" s="130"/>
      <c r="N348" s="130">
        <v>5000</v>
      </c>
    </row>
    <row r="349" spans="1:14" ht="26.25" x14ac:dyDescent="0.25">
      <c r="A349" s="7" t="s">
        <v>565</v>
      </c>
      <c r="B349" s="7"/>
      <c r="C349" s="3" t="s">
        <v>317</v>
      </c>
      <c r="D349" s="130">
        <v>0</v>
      </c>
      <c r="E349" s="130"/>
      <c r="F349" s="130">
        <v>0</v>
      </c>
      <c r="G349" s="130"/>
      <c r="H349" s="130">
        <v>0</v>
      </c>
      <c r="I349" s="130">
        <v>832</v>
      </c>
      <c r="J349" s="130"/>
      <c r="K349" s="130">
        <v>832</v>
      </c>
      <c r="L349" s="130">
        <v>0</v>
      </c>
      <c r="M349" s="130"/>
      <c r="N349" s="130">
        <v>0</v>
      </c>
    </row>
    <row r="350" spans="1:14" ht="39.75" customHeight="1" x14ac:dyDescent="0.25">
      <c r="A350" s="7"/>
      <c r="B350" s="7" t="s">
        <v>608</v>
      </c>
      <c r="C350" s="3" t="s">
        <v>609</v>
      </c>
      <c r="D350" s="130">
        <v>0</v>
      </c>
      <c r="E350" s="130"/>
      <c r="F350" s="130">
        <v>0</v>
      </c>
      <c r="G350" s="130"/>
      <c r="H350" s="130">
        <v>0</v>
      </c>
      <c r="I350" s="130">
        <v>832</v>
      </c>
      <c r="J350" s="130"/>
      <c r="K350" s="130">
        <v>832</v>
      </c>
      <c r="L350" s="130">
        <v>0</v>
      </c>
      <c r="M350" s="130"/>
      <c r="N350" s="130">
        <v>0</v>
      </c>
    </row>
    <row r="351" spans="1:14" ht="39.75" customHeight="1" x14ac:dyDescent="0.25">
      <c r="A351" s="32" t="s">
        <v>318</v>
      </c>
      <c r="B351" s="32"/>
      <c r="C351" s="40" t="s">
        <v>319</v>
      </c>
      <c r="D351" s="132">
        <f>D352+D360</f>
        <v>903.2</v>
      </c>
      <c r="E351" s="132"/>
      <c r="F351" s="132">
        <f>F352+F360</f>
        <v>953.2</v>
      </c>
      <c r="G351" s="132">
        <f>G352+G360</f>
        <v>0</v>
      </c>
      <c r="H351" s="132">
        <f>H352+H360</f>
        <v>953.2</v>
      </c>
      <c r="I351" s="132">
        <f>I352+I360</f>
        <v>927.59999999999991</v>
      </c>
      <c r="J351" s="132"/>
      <c r="K351" s="132">
        <f>K352+K360</f>
        <v>927.59999999999991</v>
      </c>
      <c r="L351" s="132">
        <f>L352+L360</f>
        <v>953.2</v>
      </c>
      <c r="M351" s="132"/>
      <c r="N351" s="132">
        <f>N352+N360</f>
        <v>953.2</v>
      </c>
    </row>
    <row r="352" spans="1:14" ht="26.25" x14ac:dyDescent="0.25">
      <c r="A352" s="34" t="s">
        <v>320</v>
      </c>
      <c r="B352" s="34"/>
      <c r="C352" s="35" t="s">
        <v>321</v>
      </c>
      <c r="D352" s="139">
        <f>D353</f>
        <v>562</v>
      </c>
      <c r="E352" s="139"/>
      <c r="F352" s="139">
        <f>F353</f>
        <v>562</v>
      </c>
      <c r="G352" s="139"/>
      <c r="H352" s="139">
        <f>H353</f>
        <v>562</v>
      </c>
      <c r="I352" s="139">
        <f>I353</f>
        <v>584.5</v>
      </c>
      <c r="J352" s="139"/>
      <c r="K352" s="139">
        <f>K353</f>
        <v>584.5</v>
      </c>
      <c r="L352" s="139">
        <f>L353</f>
        <v>607.9</v>
      </c>
      <c r="M352" s="139"/>
      <c r="N352" s="139">
        <f>N353</f>
        <v>607.9</v>
      </c>
    </row>
    <row r="353" spans="1:14" ht="39" x14ac:dyDescent="0.25">
      <c r="A353" s="36" t="s">
        <v>322</v>
      </c>
      <c r="B353" s="39"/>
      <c r="C353" s="37" t="s">
        <v>323</v>
      </c>
      <c r="D353" s="131">
        <f>D354+D355+D357</f>
        <v>562</v>
      </c>
      <c r="E353" s="131"/>
      <c r="F353" s="131">
        <f>F354+F355+F357</f>
        <v>562</v>
      </c>
      <c r="G353" s="131"/>
      <c r="H353" s="131">
        <f>H354+H355+H357</f>
        <v>562</v>
      </c>
      <c r="I353" s="131">
        <f>I354+I355+I357</f>
        <v>584.5</v>
      </c>
      <c r="J353" s="131"/>
      <c r="K353" s="131">
        <f>K354+K355+K357</f>
        <v>584.5</v>
      </c>
      <c r="L353" s="131">
        <f>L354+L355+L357</f>
        <v>607.9</v>
      </c>
      <c r="M353" s="131"/>
      <c r="N353" s="131">
        <f>N354+N355+N357</f>
        <v>607.9</v>
      </c>
    </row>
    <row r="354" spans="1:14" ht="39" x14ac:dyDescent="0.25">
      <c r="A354" s="7" t="s">
        <v>324</v>
      </c>
      <c r="B354" s="7"/>
      <c r="C354" s="3" t="s">
        <v>325</v>
      </c>
      <c r="D354" s="130">
        <v>0</v>
      </c>
      <c r="E354" s="130"/>
      <c r="F354" s="130">
        <v>0</v>
      </c>
      <c r="G354" s="130"/>
      <c r="H354" s="130">
        <v>0</v>
      </c>
      <c r="I354" s="130">
        <v>0</v>
      </c>
      <c r="J354" s="130"/>
      <c r="K354" s="130">
        <v>0</v>
      </c>
      <c r="L354" s="130">
        <v>0</v>
      </c>
      <c r="M354" s="130"/>
      <c r="N354" s="130">
        <v>0</v>
      </c>
    </row>
    <row r="355" spans="1:14" ht="39" x14ac:dyDescent="0.25">
      <c r="A355" s="7" t="s">
        <v>326</v>
      </c>
      <c r="B355" s="7"/>
      <c r="C355" s="3" t="s">
        <v>327</v>
      </c>
      <c r="D355" s="130">
        <v>10</v>
      </c>
      <c r="E355" s="130"/>
      <c r="F355" s="130">
        <v>10</v>
      </c>
      <c r="G355" s="130"/>
      <c r="H355" s="130">
        <v>10</v>
      </c>
      <c r="I355" s="130">
        <v>10.4</v>
      </c>
      <c r="J355" s="130"/>
      <c r="K355" s="130">
        <v>10.4</v>
      </c>
      <c r="L355" s="130">
        <v>10.8</v>
      </c>
      <c r="M355" s="130"/>
      <c r="N355" s="130">
        <v>10.8</v>
      </c>
    </row>
    <row r="356" spans="1:14" ht="26.25" x14ac:dyDescent="0.25">
      <c r="A356" s="7"/>
      <c r="B356" s="7" t="s">
        <v>336</v>
      </c>
      <c r="C356" s="3" t="s">
        <v>337</v>
      </c>
      <c r="D356" s="130">
        <v>10</v>
      </c>
      <c r="E356" s="130"/>
      <c r="F356" s="130">
        <v>10</v>
      </c>
      <c r="G356" s="130"/>
      <c r="H356" s="130">
        <v>10</v>
      </c>
      <c r="I356" s="130">
        <v>10.4</v>
      </c>
      <c r="J356" s="130"/>
      <c r="K356" s="130">
        <v>10.4</v>
      </c>
      <c r="L356" s="130">
        <v>10.8</v>
      </c>
      <c r="M356" s="130"/>
      <c r="N356" s="130">
        <v>10.8</v>
      </c>
    </row>
    <row r="357" spans="1:14" ht="51.75" x14ac:dyDescent="0.25">
      <c r="A357" s="7" t="s">
        <v>328</v>
      </c>
      <c r="B357" s="7"/>
      <c r="C357" s="3" t="s">
        <v>329</v>
      </c>
      <c r="D357" s="130">
        <v>552</v>
      </c>
      <c r="E357" s="130"/>
      <c r="F357" s="130">
        <v>552</v>
      </c>
      <c r="G357" s="130"/>
      <c r="H357" s="130">
        <v>552</v>
      </c>
      <c r="I357" s="130">
        <v>574.1</v>
      </c>
      <c r="J357" s="130"/>
      <c r="K357" s="130">
        <v>574.1</v>
      </c>
      <c r="L357" s="130">
        <v>597.1</v>
      </c>
      <c r="M357" s="130"/>
      <c r="N357" s="130">
        <v>597.1</v>
      </c>
    </row>
    <row r="358" spans="1:14" ht="26.25" x14ac:dyDescent="0.25">
      <c r="A358" s="7" t="s">
        <v>330</v>
      </c>
      <c r="B358" s="7"/>
      <c r="C358" s="3" t="s">
        <v>331</v>
      </c>
      <c r="D358" s="130">
        <v>0</v>
      </c>
      <c r="E358" s="130"/>
      <c r="F358" s="130">
        <v>0</v>
      </c>
      <c r="G358" s="130"/>
      <c r="H358" s="130">
        <v>0</v>
      </c>
      <c r="I358" s="130">
        <v>0</v>
      </c>
      <c r="J358" s="130"/>
      <c r="K358" s="130">
        <v>0</v>
      </c>
      <c r="L358" s="130">
        <v>0</v>
      </c>
      <c r="M358" s="130"/>
      <c r="N358" s="130">
        <v>0</v>
      </c>
    </row>
    <row r="359" spans="1:14" ht="26.25" x14ac:dyDescent="0.25">
      <c r="A359" s="7"/>
      <c r="B359" s="7" t="s">
        <v>336</v>
      </c>
      <c r="C359" s="3" t="s">
        <v>337</v>
      </c>
      <c r="D359" s="130">
        <v>552</v>
      </c>
      <c r="E359" s="130"/>
      <c r="F359" s="130">
        <v>552</v>
      </c>
      <c r="G359" s="130"/>
      <c r="H359" s="130">
        <v>552</v>
      </c>
      <c r="I359" s="130">
        <v>574.1</v>
      </c>
      <c r="J359" s="130"/>
      <c r="K359" s="130">
        <v>574.1</v>
      </c>
      <c r="L359" s="130">
        <v>597.1</v>
      </c>
      <c r="M359" s="130"/>
      <c r="N359" s="130">
        <v>597.1</v>
      </c>
    </row>
    <row r="360" spans="1:14" ht="26.25" x14ac:dyDescent="0.25">
      <c r="A360" s="34" t="s">
        <v>332</v>
      </c>
      <c r="B360" s="34"/>
      <c r="C360" s="35" t="s">
        <v>333</v>
      </c>
      <c r="D360" s="139">
        <f>D361</f>
        <v>341.2</v>
      </c>
      <c r="E360" s="139"/>
      <c r="F360" s="139">
        <f>F361</f>
        <v>391.2</v>
      </c>
      <c r="G360" s="139">
        <f>G361</f>
        <v>0</v>
      </c>
      <c r="H360" s="139">
        <f>H361</f>
        <v>391.2</v>
      </c>
      <c r="I360" s="139">
        <f>I361</f>
        <v>343.09999999999997</v>
      </c>
      <c r="J360" s="139"/>
      <c r="K360" s="139">
        <f>K361</f>
        <v>343.09999999999997</v>
      </c>
      <c r="L360" s="139">
        <f>L361</f>
        <v>345.3</v>
      </c>
      <c r="M360" s="139"/>
      <c r="N360" s="139">
        <f>N361</f>
        <v>345.3</v>
      </c>
    </row>
    <row r="361" spans="1:14" ht="26.25" x14ac:dyDescent="0.25">
      <c r="A361" s="36" t="s">
        <v>567</v>
      </c>
      <c r="B361" s="39"/>
      <c r="C361" s="37" t="s">
        <v>334</v>
      </c>
      <c r="D361" s="131">
        <f>D362+D369+D366</f>
        <v>341.2</v>
      </c>
      <c r="E361" s="131"/>
      <c r="F361" s="131">
        <f>F362+F369+F366</f>
        <v>391.2</v>
      </c>
      <c r="G361" s="131">
        <f>G362+G369+G366</f>
        <v>0</v>
      </c>
      <c r="H361" s="131">
        <f>H362+H369+H366</f>
        <v>391.2</v>
      </c>
      <c r="I361" s="131">
        <f>I362+I369+I366</f>
        <v>343.09999999999997</v>
      </c>
      <c r="J361" s="131"/>
      <c r="K361" s="131">
        <f>K362+K369+K366</f>
        <v>343.09999999999997</v>
      </c>
      <c r="L361" s="131">
        <f>L362+L369+L366</f>
        <v>345.3</v>
      </c>
      <c r="M361" s="131"/>
      <c r="N361" s="131">
        <f>N362+N369+N366</f>
        <v>345.3</v>
      </c>
    </row>
    <row r="362" spans="1:14" ht="39" x14ac:dyDescent="0.25">
      <c r="A362" s="7" t="s">
        <v>566</v>
      </c>
      <c r="B362" s="7"/>
      <c r="C362" s="52" t="s">
        <v>335</v>
      </c>
      <c r="D362" s="130">
        <f>D365+D364</f>
        <v>290</v>
      </c>
      <c r="E362" s="130"/>
      <c r="F362" s="130">
        <f>F365+F364</f>
        <v>340</v>
      </c>
      <c r="G362" s="130">
        <f>G363</f>
        <v>0</v>
      </c>
      <c r="H362" s="130">
        <f>H365+H364</f>
        <v>340</v>
      </c>
      <c r="I362" s="130">
        <f>I365+I364</f>
        <v>290</v>
      </c>
      <c r="J362" s="130"/>
      <c r="K362" s="130">
        <f>K365+K364</f>
        <v>290</v>
      </c>
      <c r="L362" s="130">
        <f>L365+L364</f>
        <v>290</v>
      </c>
      <c r="M362" s="130"/>
      <c r="N362" s="130">
        <f>N365+N364</f>
        <v>290</v>
      </c>
    </row>
    <row r="363" spans="1:14" ht="26.25" x14ac:dyDescent="0.25">
      <c r="A363" s="7"/>
      <c r="B363" s="7" t="s">
        <v>336</v>
      </c>
      <c r="C363" s="3" t="s">
        <v>337</v>
      </c>
      <c r="D363" s="130">
        <v>290</v>
      </c>
      <c r="E363" s="130"/>
      <c r="F363" s="130">
        <v>290</v>
      </c>
      <c r="G363" s="130">
        <f>G365</f>
        <v>0</v>
      </c>
      <c r="H363" s="130">
        <v>340</v>
      </c>
      <c r="I363" s="130">
        <v>290</v>
      </c>
      <c r="J363" s="130"/>
      <c r="K363" s="130">
        <v>290</v>
      </c>
      <c r="L363" s="130">
        <v>290</v>
      </c>
      <c r="M363" s="130"/>
      <c r="N363" s="130">
        <v>290</v>
      </c>
    </row>
    <row r="364" spans="1:14" x14ac:dyDescent="0.25">
      <c r="A364" s="7"/>
      <c r="B364" s="7"/>
      <c r="C364" s="3" t="s">
        <v>183</v>
      </c>
      <c r="D364" s="130">
        <v>111.6</v>
      </c>
      <c r="E364" s="130"/>
      <c r="F364" s="130">
        <v>111.6</v>
      </c>
      <c r="G364" s="130"/>
      <c r="H364" s="130">
        <v>111.6</v>
      </c>
      <c r="I364" s="130">
        <v>111.6</v>
      </c>
      <c r="J364" s="130"/>
      <c r="K364" s="130">
        <v>111.6</v>
      </c>
      <c r="L364" s="130">
        <v>111.6</v>
      </c>
      <c r="M364" s="130"/>
      <c r="N364" s="130">
        <v>111.6</v>
      </c>
    </row>
    <row r="365" spans="1:14" x14ac:dyDescent="0.25">
      <c r="A365" s="7"/>
      <c r="B365" s="7"/>
      <c r="C365" s="3" t="s">
        <v>120</v>
      </c>
      <c r="D365" s="130">
        <v>178.4</v>
      </c>
      <c r="E365" s="130"/>
      <c r="F365" s="130">
        <v>228.4</v>
      </c>
      <c r="G365" s="130"/>
      <c r="H365" s="130">
        <f>SUM(F365:G365)</f>
        <v>228.4</v>
      </c>
      <c r="I365" s="130">
        <v>178.4</v>
      </c>
      <c r="J365" s="130"/>
      <c r="K365" s="130">
        <v>178.4</v>
      </c>
      <c r="L365" s="130">
        <v>178.4</v>
      </c>
      <c r="M365" s="130"/>
      <c r="N365" s="130">
        <v>178.4</v>
      </c>
    </row>
    <row r="366" spans="1:14" ht="39" x14ac:dyDescent="0.25">
      <c r="A366" s="7" t="s">
        <v>568</v>
      </c>
      <c r="B366" s="7"/>
      <c r="C366" s="3" t="s">
        <v>750</v>
      </c>
      <c r="D366" s="146">
        <v>31.2</v>
      </c>
      <c r="E366" s="146"/>
      <c r="F366" s="146">
        <v>31.2</v>
      </c>
      <c r="G366" s="146"/>
      <c r="H366" s="146">
        <v>31.2</v>
      </c>
      <c r="I366" s="146">
        <v>32.4</v>
      </c>
      <c r="J366" s="146"/>
      <c r="K366" s="146">
        <v>32.4</v>
      </c>
      <c r="L366" s="146">
        <v>33.700000000000003</v>
      </c>
      <c r="M366" s="146"/>
      <c r="N366" s="146">
        <v>33.700000000000003</v>
      </c>
    </row>
    <row r="367" spans="1:14" ht="26.25" x14ac:dyDescent="0.25">
      <c r="A367" s="7"/>
      <c r="B367" s="7" t="s">
        <v>336</v>
      </c>
      <c r="C367" s="3" t="s">
        <v>337</v>
      </c>
      <c r="D367" s="146">
        <v>27.4</v>
      </c>
      <c r="E367" s="146"/>
      <c r="F367" s="146">
        <v>27.4</v>
      </c>
      <c r="G367" s="146"/>
      <c r="H367" s="146">
        <v>27.4</v>
      </c>
      <c r="I367" s="146">
        <v>28.5</v>
      </c>
      <c r="J367" s="146"/>
      <c r="K367" s="146">
        <v>28.5</v>
      </c>
      <c r="L367" s="146">
        <v>29.7</v>
      </c>
      <c r="M367" s="146"/>
      <c r="N367" s="146">
        <v>29.7</v>
      </c>
    </row>
    <row r="368" spans="1:14" ht="26.25" x14ac:dyDescent="0.25">
      <c r="A368" s="7"/>
      <c r="B368" s="7" t="s">
        <v>608</v>
      </c>
      <c r="C368" s="3" t="s">
        <v>609</v>
      </c>
      <c r="D368" s="146">
        <v>3.8</v>
      </c>
      <c r="E368" s="146"/>
      <c r="F368" s="146">
        <v>3.8</v>
      </c>
      <c r="G368" s="146"/>
      <c r="H368" s="146">
        <v>3.8</v>
      </c>
      <c r="I368" s="146">
        <v>3.9</v>
      </c>
      <c r="J368" s="146"/>
      <c r="K368" s="146">
        <v>3.9</v>
      </c>
      <c r="L368" s="146">
        <v>4</v>
      </c>
      <c r="M368" s="146"/>
      <c r="N368" s="146">
        <v>4</v>
      </c>
    </row>
    <row r="369" spans="1:14" x14ac:dyDescent="0.25">
      <c r="A369" s="7" t="s">
        <v>569</v>
      </c>
      <c r="B369" s="7"/>
      <c r="C369" s="3" t="s">
        <v>751</v>
      </c>
      <c r="D369" s="146">
        <v>20</v>
      </c>
      <c r="E369" s="146"/>
      <c r="F369" s="146">
        <v>20</v>
      </c>
      <c r="G369" s="146"/>
      <c r="H369" s="146">
        <v>20</v>
      </c>
      <c r="I369" s="146">
        <v>20.7</v>
      </c>
      <c r="J369" s="146"/>
      <c r="K369" s="146">
        <v>20.7</v>
      </c>
      <c r="L369" s="146">
        <v>21.6</v>
      </c>
      <c r="M369" s="146"/>
      <c r="N369" s="146">
        <v>21.6</v>
      </c>
    </row>
    <row r="370" spans="1:14" ht="26.25" x14ac:dyDescent="0.25">
      <c r="A370" s="7"/>
      <c r="B370" s="7" t="s">
        <v>608</v>
      </c>
      <c r="C370" s="3" t="s">
        <v>609</v>
      </c>
      <c r="D370" s="146">
        <v>20</v>
      </c>
      <c r="E370" s="146"/>
      <c r="F370" s="146">
        <v>20</v>
      </c>
      <c r="G370" s="146"/>
      <c r="H370" s="146">
        <v>20</v>
      </c>
      <c r="I370" s="146">
        <v>20.7</v>
      </c>
      <c r="J370" s="146"/>
      <c r="K370" s="146">
        <v>20.7</v>
      </c>
      <c r="L370" s="146">
        <v>21.6</v>
      </c>
      <c r="M370" s="146"/>
      <c r="N370" s="146">
        <v>21.6</v>
      </c>
    </row>
    <row r="371" spans="1:14" ht="26.25" x14ac:dyDescent="0.25">
      <c r="A371" s="32" t="s">
        <v>338</v>
      </c>
      <c r="B371" s="32"/>
      <c r="C371" s="40" t="s">
        <v>339</v>
      </c>
      <c r="D371" s="132">
        <f>D372+D376</f>
        <v>518</v>
      </c>
      <c r="E371" s="132"/>
      <c r="F371" s="132">
        <f>F372+F376</f>
        <v>418</v>
      </c>
      <c r="G371" s="132"/>
      <c r="H371" s="132">
        <f>H372+H376</f>
        <v>418</v>
      </c>
      <c r="I371" s="132">
        <f>I372+I376</f>
        <v>256.7</v>
      </c>
      <c r="J371" s="132">
        <f>J372+J376</f>
        <v>0</v>
      </c>
      <c r="K371" s="132">
        <f>K372+K376</f>
        <v>256.7</v>
      </c>
      <c r="L371" s="132">
        <f>L372+L376</f>
        <v>266.8</v>
      </c>
      <c r="M371" s="132"/>
      <c r="N371" s="132">
        <f>N372+N376</f>
        <v>266.8</v>
      </c>
    </row>
    <row r="372" spans="1:14" ht="26.25" x14ac:dyDescent="0.25">
      <c r="A372" s="34" t="s">
        <v>570</v>
      </c>
      <c r="B372" s="34"/>
      <c r="C372" s="60" t="s">
        <v>571</v>
      </c>
      <c r="D372" s="139">
        <f>D373</f>
        <v>271.10000000000002</v>
      </c>
      <c r="E372" s="139"/>
      <c r="F372" s="139">
        <f t="shared" ref="F372:N373" si="32">F373</f>
        <v>171.1</v>
      </c>
      <c r="G372" s="139"/>
      <c r="H372" s="139">
        <f t="shared" si="32"/>
        <v>171.1</v>
      </c>
      <c r="I372" s="139">
        <f t="shared" si="32"/>
        <v>0</v>
      </c>
      <c r="J372" s="139">
        <f t="shared" si="32"/>
        <v>0</v>
      </c>
      <c r="K372" s="139">
        <f t="shared" si="32"/>
        <v>0</v>
      </c>
      <c r="L372" s="139">
        <f t="shared" si="32"/>
        <v>0</v>
      </c>
      <c r="M372" s="139"/>
      <c r="N372" s="139">
        <f t="shared" si="32"/>
        <v>0</v>
      </c>
    </row>
    <row r="373" spans="1:14" ht="51.75" x14ac:dyDescent="0.25">
      <c r="A373" s="36" t="s">
        <v>572</v>
      </c>
      <c r="B373" s="39"/>
      <c r="C373" s="22" t="s">
        <v>573</v>
      </c>
      <c r="D373" s="131">
        <f>D374</f>
        <v>271.10000000000002</v>
      </c>
      <c r="E373" s="131"/>
      <c r="F373" s="131">
        <f t="shared" si="32"/>
        <v>171.1</v>
      </c>
      <c r="G373" s="131"/>
      <c r="H373" s="131">
        <f t="shared" si="32"/>
        <v>171.1</v>
      </c>
      <c r="I373" s="131">
        <f t="shared" si="32"/>
        <v>0</v>
      </c>
      <c r="J373" s="131">
        <f t="shared" si="32"/>
        <v>0</v>
      </c>
      <c r="K373" s="131">
        <f t="shared" si="32"/>
        <v>0</v>
      </c>
      <c r="L373" s="131">
        <f t="shared" si="32"/>
        <v>0</v>
      </c>
      <c r="M373" s="131"/>
      <c r="N373" s="131">
        <f t="shared" si="32"/>
        <v>0</v>
      </c>
    </row>
    <row r="374" spans="1:14" ht="26.25" x14ac:dyDescent="0.25">
      <c r="A374" s="7" t="s">
        <v>574</v>
      </c>
      <c r="B374" s="7"/>
      <c r="C374" s="20" t="s">
        <v>340</v>
      </c>
      <c r="D374" s="146">
        <v>271.10000000000002</v>
      </c>
      <c r="E374" s="146"/>
      <c r="F374" s="146">
        <f>F375</f>
        <v>171.1</v>
      </c>
      <c r="G374" s="146"/>
      <c r="H374" s="146">
        <f>H375</f>
        <v>171.1</v>
      </c>
      <c r="I374" s="146">
        <f>I375</f>
        <v>0</v>
      </c>
      <c r="J374" s="146">
        <f>J375</f>
        <v>0</v>
      </c>
      <c r="K374" s="146">
        <v>0</v>
      </c>
      <c r="L374" s="146">
        <v>0</v>
      </c>
      <c r="M374" s="146"/>
      <c r="N374" s="146">
        <v>0</v>
      </c>
    </row>
    <row r="375" spans="1:14" ht="26.25" x14ac:dyDescent="0.25">
      <c r="A375" s="7"/>
      <c r="B375" s="7" t="s">
        <v>336</v>
      </c>
      <c r="C375" s="3" t="s">
        <v>337</v>
      </c>
      <c r="D375" s="146">
        <v>271.10000000000002</v>
      </c>
      <c r="E375" s="146"/>
      <c r="F375" s="146">
        <v>171.1</v>
      </c>
      <c r="G375" s="146"/>
      <c r="H375" s="146">
        <v>171.1</v>
      </c>
      <c r="I375" s="146">
        <v>0</v>
      </c>
      <c r="J375" s="146"/>
      <c r="K375" s="146">
        <v>0</v>
      </c>
      <c r="L375" s="146">
        <v>0</v>
      </c>
      <c r="M375" s="146"/>
      <c r="N375" s="146">
        <v>0</v>
      </c>
    </row>
    <row r="376" spans="1:14" ht="26.25" x14ac:dyDescent="0.25">
      <c r="A376" s="34" t="s">
        <v>575</v>
      </c>
      <c r="B376" s="34"/>
      <c r="C376" s="60" t="s">
        <v>576</v>
      </c>
      <c r="D376" s="139">
        <f>D377+D380</f>
        <v>246.9</v>
      </c>
      <c r="E376" s="139"/>
      <c r="F376" s="139">
        <f>F377+F380</f>
        <v>246.9</v>
      </c>
      <c r="G376" s="139"/>
      <c r="H376" s="139">
        <f>H377+H380</f>
        <v>246.9</v>
      </c>
      <c r="I376" s="139">
        <f>I377+I380</f>
        <v>256.7</v>
      </c>
      <c r="J376" s="139"/>
      <c r="K376" s="139">
        <f>K377+K380</f>
        <v>256.7</v>
      </c>
      <c r="L376" s="139">
        <f>L377+L380</f>
        <v>266.8</v>
      </c>
      <c r="M376" s="139"/>
      <c r="N376" s="139">
        <f>N377+N380</f>
        <v>266.8</v>
      </c>
    </row>
    <row r="377" spans="1:14" ht="26.25" x14ac:dyDescent="0.25">
      <c r="A377" s="36" t="s">
        <v>577</v>
      </c>
      <c r="B377" s="36"/>
      <c r="C377" s="22" t="s">
        <v>445</v>
      </c>
      <c r="D377" s="131">
        <f>D378</f>
        <v>120</v>
      </c>
      <c r="E377" s="131"/>
      <c r="F377" s="131">
        <f>F378</f>
        <v>120</v>
      </c>
      <c r="G377" s="131"/>
      <c r="H377" s="131">
        <f>H378</f>
        <v>120</v>
      </c>
      <c r="I377" s="131">
        <f>I378</f>
        <v>124.8</v>
      </c>
      <c r="J377" s="131"/>
      <c r="K377" s="131">
        <f>K378</f>
        <v>124.8</v>
      </c>
      <c r="L377" s="131">
        <f>L378</f>
        <v>130</v>
      </c>
      <c r="M377" s="131"/>
      <c r="N377" s="131">
        <f>N378</f>
        <v>130</v>
      </c>
    </row>
    <row r="378" spans="1:14" x14ac:dyDescent="0.25">
      <c r="A378" s="7" t="s">
        <v>578</v>
      </c>
      <c r="B378" s="7"/>
      <c r="C378" s="20" t="s">
        <v>341</v>
      </c>
      <c r="D378" s="146">
        <v>120</v>
      </c>
      <c r="E378" s="146"/>
      <c r="F378" s="146">
        <v>120</v>
      </c>
      <c r="G378" s="146"/>
      <c r="H378" s="146">
        <v>120</v>
      </c>
      <c r="I378" s="146">
        <v>124.8</v>
      </c>
      <c r="J378" s="146"/>
      <c r="K378" s="146">
        <v>124.8</v>
      </c>
      <c r="L378" s="146">
        <v>130</v>
      </c>
      <c r="M378" s="146"/>
      <c r="N378" s="146">
        <v>130</v>
      </c>
    </row>
    <row r="379" spans="1:14" ht="26.25" x14ac:dyDescent="0.25">
      <c r="A379" s="7"/>
      <c r="B379" s="7" t="s">
        <v>336</v>
      </c>
      <c r="C379" s="3" t="s">
        <v>337</v>
      </c>
      <c r="D379" s="146">
        <v>120</v>
      </c>
      <c r="E379" s="146"/>
      <c r="F379" s="146">
        <v>120</v>
      </c>
      <c r="G379" s="146"/>
      <c r="H379" s="146">
        <v>120</v>
      </c>
      <c r="I379" s="146">
        <v>124.8</v>
      </c>
      <c r="J379" s="146"/>
      <c r="K379" s="146">
        <v>124.8</v>
      </c>
      <c r="L379" s="146">
        <v>130</v>
      </c>
      <c r="M379" s="146"/>
      <c r="N379" s="146">
        <v>130</v>
      </c>
    </row>
    <row r="380" spans="1:14" x14ac:dyDescent="0.25">
      <c r="A380" s="36" t="s">
        <v>579</v>
      </c>
      <c r="B380" s="36"/>
      <c r="C380" s="22" t="s">
        <v>446</v>
      </c>
      <c r="D380" s="131">
        <f>D381+D383+D385+D387</f>
        <v>126.9</v>
      </c>
      <c r="E380" s="131"/>
      <c r="F380" s="131">
        <f>F381+F383+F385+F387</f>
        <v>126.9</v>
      </c>
      <c r="G380" s="131"/>
      <c r="H380" s="131">
        <f>H381+H383+H385+H387</f>
        <v>126.9</v>
      </c>
      <c r="I380" s="131">
        <f>I381+I383+I385+I387</f>
        <v>131.9</v>
      </c>
      <c r="J380" s="131"/>
      <c r="K380" s="131">
        <f>K381+K383+K385+K387</f>
        <v>131.9</v>
      </c>
      <c r="L380" s="131">
        <f>L381+L383+L385+L387</f>
        <v>136.80000000000001</v>
      </c>
      <c r="M380" s="131"/>
      <c r="N380" s="131">
        <f>N381+N383+N385+N387</f>
        <v>136.80000000000001</v>
      </c>
    </row>
    <row r="381" spans="1:14" ht="26.25" x14ac:dyDescent="0.25">
      <c r="A381" s="7" t="s">
        <v>580</v>
      </c>
      <c r="B381" s="7"/>
      <c r="C381" s="20" t="s">
        <v>342</v>
      </c>
      <c r="D381" s="146">
        <f>100-64</f>
        <v>36</v>
      </c>
      <c r="E381" s="146"/>
      <c r="F381" s="146">
        <f>100-64</f>
        <v>36</v>
      </c>
      <c r="G381" s="146"/>
      <c r="H381" s="146">
        <f>100-64</f>
        <v>36</v>
      </c>
      <c r="I381" s="146">
        <f>104-66.6</f>
        <v>37.400000000000006</v>
      </c>
      <c r="J381" s="146"/>
      <c r="K381" s="146">
        <f>104-66.6</f>
        <v>37.400000000000006</v>
      </c>
      <c r="L381" s="146">
        <f>108-69.3</f>
        <v>38.700000000000003</v>
      </c>
      <c r="M381" s="146"/>
      <c r="N381" s="146">
        <f>108-69.3</f>
        <v>38.700000000000003</v>
      </c>
    </row>
    <row r="382" spans="1:14" ht="26.25" x14ac:dyDescent="0.25">
      <c r="A382" s="7"/>
      <c r="B382" s="7" t="s">
        <v>336</v>
      </c>
      <c r="C382" s="3" t="s">
        <v>337</v>
      </c>
      <c r="D382" s="146">
        <f>100-64</f>
        <v>36</v>
      </c>
      <c r="E382" s="146"/>
      <c r="F382" s="146">
        <f>100-64</f>
        <v>36</v>
      </c>
      <c r="G382" s="146"/>
      <c r="H382" s="146">
        <f>100-64</f>
        <v>36</v>
      </c>
      <c r="I382" s="146">
        <f>104-66.6</f>
        <v>37.400000000000006</v>
      </c>
      <c r="J382" s="146"/>
      <c r="K382" s="146">
        <f>104-66.6</f>
        <v>37.400000000000006</v>
      </c>
      <c r="L382" s="146">
        <f>108-69.3</f>
        <v>38.700000000000003</v>
      </c>
      <c r="M382" s="146"/>
      <c r="N382" s="146">
        <f>108-69.3</f>
        <v>38.700000000000003</v>
      </c>
    </row>
    <row r="383" spans="1:14" ht="26.25" x14ac:dyDescent="0.25">
      <c r="A383" s="7" t="s">
        <v>581</v>
      </c>
      <c r="B383" s="7"/>
      <c r="C383" s="20" t="s">
        <v>343</v>
      </c>
      <c r="D383" s="146">
        <v>40</v>
      </c>
      <c r="E383" s="146"/>
      <c r="F383" s="146">
        <v>40</v>
      </c>
      <c r="G383" s="146"/>
      <c r="H383" s="146">
        <v>40</v>
      </c>
      <c r="I383" s="146">
        <v>41.6</v>
      </c>
      <c r="J383" s="146"/>
      <c r="K383" s="146">
        <v>41.6</v>
      </c>
      <c r="L383" s="146">
        <v>43.2</v>
      </c>
      <c r="M383" s="146"/>
      <c r="N383" s="146">
        <v>43.2</v>
      </c>
    </row>
    <row r="384" spans="1:14" ht="26.25" x14ac:dyDescent="0.25">
      <c r="A384" s="7"/>
      <c r="B384" s="7" t="s">
        <v>336</v>
      </c>
      <c r="C384" s="3" t="s">
        <v>337</v>
      </c>
      <c r="D384" s="146">
        <v>40</v>
      </c>
      <c r="E384" s="146"/>
      <c r="F384" s="146">
        <v>40</v>
      </c>
      <c r="G384" s="146"/>
      <c r="H384" s="146">
        <v>40</v>
      </c>
      <c r="I384" s="146">
        <v>41.6</v>
      </c>
      <c r="J384" s="146"/>
      <c r="K384" s="146">
        <v>41.6</v>
      </c>
      <c r="L384" s="146">
        <v>43.2</v>
      </c>
      <c r="M384" s="146"/>
      <c r="N384" s="146">
        <v>43.2</v>
      </c>
    </row>
    <row r="385" spans="1:17" x14ac:dyDescent="0.25">
      <c r="A385" s="7" t="s">
        <v>582</v>
      </c>
      <c r="B385" s="7"/>
      <c r="C385" s="20" t="s">
        <v>344</v>
      </c>
      <c r="D385" s="146">
        <f>50-24.2</f>
        <v>25.8</v>
      </c>
      <c r="E385" s="146"/>
      <c r="F385" s="146">
        <f>50-24.2</f>
        <v>25.8</v>
      </c>
      <c r="G385" s="146"/>
      <c r="H385" s="146">
        <f>50-24.2</f>
        <v>25.8</v>
      </c>
      <c r="I385" s="146">
        <f>52-25.2</f>
        <v>26.8</v>
      </c>
      <c r="J385" s="146"/>
      <c r="K385" s="146">
        <f>52-25.2</f>
        <v>26.8</v>
      </c>
      <c r="L385" s="146">
        <f>54-26.2</f>
        <v>27.8</v>
      </c>
      <c r="M385" s="146"/>
      <c r="N385" s="146">
        <f>54-26.2</f>
        <v>27.8</v>
      </c>
    </row>
    <row r="386" spans="1:17" ht="26.25" x14ac:dyDescent="0.25">
      <c r="A386" s="7"/>
      <c r="B386" s="7" t="s">
        <v>336</v>
      </c>
      <c r="C386" s="3" t="s">
        <v>337</v>
      </c>
      <c r="D386" s="146">
        <f>50-24.2</f>
        <v>25.8</v>
      </c>
      <c r="E386" s="146"/>
      <c r="F386" s="146">
        <f>50-24.2</f>
        <v>25.8</v>
      </c>
      <c r="G386" s="146"/>
      <c r="H386" s="146">
        <f>50-24.2</f>
        <v>25.8</v>
      </c>
      <c r="I386" s="146">
        <f>52-25.2</f>
        <v>26.8</v>
      </c>
      <c r="J386" s="146"/>
      <c r="K386" s="146">
        <f>52-25.2</f>
        <v>26.8</v>
      </c>
      <c r="L386" s="146">
        <f>54-26.2</f>
        <v>27.8</v>
      </c>
      <c r="M386" s="146"/>
      <c r="N386" s="146">
        <f>54-26.2</f>
        <v>27.8</v>
      </c>
    </row>
    <row r="387" spans="1:17" ht="15.75" customHeight="1" x14ac:dyDescent="0.25">
      <c r="A387" s="7" t="s">
        <v>583</v>
      </c>
      <c r="B387" s="7"/>
      <c r="C387" s="20" t="s">
        <v>345</v>
      </c>
      <c r="D387" s="146">
        <f>50-24.9</f>
        <v>25.1</v>
      </c>
      <c r="E387" s="146"/>
      <c r="F387" s="146">
        <f>50-24.9</f>
        <v>25.1</v>
      </c>
      <c r="G387" s="146"/>
      <c r="H387" s="146">
        <f>50-24.9</f>
        <v>25.1</v>
      </c>
      <c r="I387" s="146">
        <f>52-25.9</f>
        <v>26.1</v>
      </c>
      <c r="J387" s="146"/>
      <c r="K387" s="146">
        <f>52-25.9</f>
        <v>26.1</v>
      </c>
      <c r="L387" s="146">
        <f>54-26.9</f>
        <v>27.1</v>
      </c>
      <c r="M387" s="146"/>
      <c r="N387" s="146">
        <f>54-26.9</f>
        <v>27.1</v>
      </c>
    </row>
    <row r="388" spans="1:17" ht="26.25" x14ac:dyDescent="0.25">
      <c r="A388" s="7"/>
      <c r="B388" s="7" t="s">
        <v>336</v>
      </c>
      <c r="C388" s="3" t="s">
        <v>337</v>
      </c>
      <c r="D388" s="146">
        <f>50-24.9</f>
        <v>25.1</v>
      </c>
      <c r="E388" s="146"/>
      <c r="F388" s="146">
        <f>50-24.9</f>
        <v>25.1</v>
      </c>
      <c r="G388" s="146"/>
      <c r="H388" s="146">
        <f>50-24.9</f>
        <v>25.1</v>
      </c>
      <c r="I388" s="146">
        <f>52-25.9</f>
        <v>26.1</v>
      </c>
      <c r="J388" s="146"/>
      <c r="K388" s="146">
        <f>52-25.9</f>
        <v>26.1</v>
      </c>
      <c r="L388" s="146">
        <f>54-26.9</f>
        <v>27.1</v>
      </c>
      <c r="M388" s="146"/>
      <c r="N388" s="146">
        <f>54-26.9</f>
        <v>27.1</v>
      </c>
    </row>
    <row r="389" spans="1:17" ht="26.25" x14ac:dyDescent="0.25">
      <c r="A389" s="32" t="s">
        <v>346</v>
      </c>
      <c r="B389" s="32"/>
      <c r="C389" s="40" t="s">
        <v>347</v>
      </c>
      <c r="D389" s="132" t="e">
        <f t="shared" ref="D389:N389" si="33">D390+D421+D463</f>
        <v>#REF!</v>
      </c>
      <c r="E389" s="132" t="e">
        <f t="shared" si="33"/>
        <v>#REF!</v>
      </c>
      <c r="F389" s="132">
        <f t="shared" si="33"/>
        <v>39592.96106999999</v>
      </c>
      <c r="G389" s="132">
        <f t="shared" si="33"/>
        <v>148.10000000000002</v>
      </c>
      <c r="H389" s="132">
        <f t="shared" si="33"/>
        <v>39741.061069999996</v>
      </c>
      <c r="I389" s="132">
        <f t="shared" si="33"/>
        <v>37934.498449999999</v>
      </c>
      <c r="J389" s="132">
        <f t="shared" si="33"/>
        <v>0</v>
      </c>
      <c r="K389" s="132">
        <f t="shared" si="33"/>
        <v>37934.498449999999</v>
      </c>
      <c r="L389" s="132">
        <f t="shared" si="33"/>
        <v>44006.399999999994</v>
      </c>
      <c r="M389" s="132">
        <f t="shared" si="33"/>
        <v>0</v>
      </c>
      <c r="N389" s="132">
        <f t="shared" si="33"/>
        <v>44006.399999999994</v>
      </c>
      <c r="P389" s="45"/>
    </row>
    <row r="390" spans="1:17" x14ac:dyDescent="0.25">
      <c r="A390" s="34" t="s">
        <v>348</v>
      </c>
      <c r="B390" s="34"/>
      <c r="C390" s="60" t="s">
        <v>349</v>
      </c>
      <c r="D390" s="139">
        <f t="shared" ref="D390:I390" si="34">D391+D406</f>
        <v>4985.2</v>
      </c>
      <c r="E390" s="139">
        <f t="shared" si="34"/>
        <v>314.50943999999998</v>
      </c>
      <c r="F390" s="139">
        <f t="shared" si="34"/>
        <v>5140.4353600000004</v>
      </c>
      <c r="G390" s="139">
        <f t="shared" si="34"/>
        <v>0</v>
      </c>
      <c r="H390" s="139">
        <f t="shared" si="34"/>
        <v>5140.4353600000004</v>
      </c>
      <c r="I390" s="139">
        <f t="shared" si="34"/>
        <v>13736.4</v>
      </c>
      <c r="J390" s="139"/>
      <c r="K390" s="139">
        <f>K391+K406</f>
        <v>13736.4</v>
      </c>
      <c r="L390" s="139">
        <f>L391+L406</f>
        <v>18430.7</v>
      </c>
      <c r="M390" s="139"/>
      <c r="N390" s="139">
        <f>N391+N406</f>
        <v>18430.7</v>
      </c>
      <c r="P390" s="45"/>
    </row>
    <row r="391" spans="1:17" ht="48" customHeight="1" x14ac:dyDescent="0.25">
      <c r="A391" s="36" t="s">
        <v>350</v>
      </c>
      <c r="B391" s="36"/>
      <c r="C391" s="22" t="s">
        <v>351</v>
      </c>
      <c r="D391" s="131">
        <f>D392+D401</f>
        <v>3286.9</v>
      </c>
      <c r="E391" s="131">
        <f>E392+E401</f>
        <v>314.50943999999998</v>
      </c>
      <c r="F391" s="131">
        <f>F392+F401</f>
        <v>3442.1353600000002</v>
      </c>
      <c r="G391" s="131">
        <f>G397</f>
        <v>0</v>
      </c>
      <c r="H391" s="131">
        <f>H392+H401</f>
        <v>3442.1353600000002</v>
      </c>
      <c r="I391" s="131">
        <f>I392+I401</f>
        <v>13736.4</v>
      </c>
      <c r="J391" s="131"/>
      <c r="K391" s="131">
        <f>K392+K401</f>
        <v>13736.4</v>
      </c>
      <c r="L391" s="131">
        <f>L392+L401</f>
        <v>18430.7</v>
      </c>
      <c r="M391" s="131"/>
      <c r="N391" s="131">
        <f>N392+N401</f>
        <v>18430.7</v>
      </c>
      <c r="P391" s="45"/>
      <c r="Q391" s="45"/>
    </row>
    <row r="392" spans="1:17" ht="39" x14ac:dyDescent="0.25">
      <c r="A392" s="24" t="s">
        <v>353</v>
      </c>
      <c r="B392" s="13"/>
      <c r="C392" s="62" t="s">
        <v>786</v>
      </c>
      <c r="D392" s="141">
        <f>D393+D397</f>
        <v>0</v>
      </c>
      <c r="E392" s="165">
        <f>E393+E397</f>
        <v>314.50943999999998</v>
      </c>
      <c r="F392" s="141">
        <f>F393+F397</f>
        <v>155.23535999999999</v>
      </c>
      <c r="G392" s="141"/>
      <c r="H392" s="141">
        <f>H393+H397</f>
        <v>155.23535999999999</v>
      </c>
      <c r="I392" s="130">
        <f>I394+I395+I396</f>
        <v>1958.5</v>
      </c>
      <c r="J392" s="130"/>
      <c r="K392" s="130">
        <f>K394+K395+K396</f>
        <v>1958.5</v>
      </c>
      <c r="L392" s="130">
        <f>L394+L395+L396</f>
        <v>1789.3</v>
      </c>
      <c r="M392" s="130"/>
      <c r="N392" s="130">
        <f>N394+N395+N396</f>
        <v>1789.3</v>
      </c>
    </row>
    <row r="393" spans="1:17" x14ac:dyDescent="0.25">
      <c r="A393" s="24"/>
      <c r="B393" s="7" t="s">
        <v>534</v>
      </c>
      <c r="C393" s="3" t="s">
        <v>535</v>
      </c>
      <c r="D393" s="141">
        <v>0</v>
      </c>
      <c r="E393" s="165"/>
      <c r="F393" s="141">
        <f>F396</f>
        <v>0</v>
      </c>
      <c r="G393" s="141"/>
      <c r="H393" s="141">
        <f>H396</f>
        <v>0</v>
      </c>
      <c r="I393" s="130">
        <v>1958.5</v>
      </c>
      <c r="J393" s="130"/>
      <c r="K393" s="130">
        <v>1958.5</v>
      </c>
      <c r="L393" s="130">
        <v>1789.3</v>
      </c>
      <c r="M393" s="130"/>
      <c r="N393" s="130">
        <v>1789.3</v>
      </c>
    </row>
    <row r="394" spans="1:17" x14ac:dyDescent="0.25">
      <c r="A394" s="24"/>
      <c r="B394" s="13"/>
      <c r="C394" s="62" t="s">
        <v>182</v>
      </c>
      <c r="D394" s="130"/>
      <c r="E394" s="146"/>
      <c r="F394" s="130"/>
      <c r="G394" s="130"/>
      <c r="H394" s="130"/>
      <c r="I394" s="130"/>
      <c r="J394" s="130"/>
      <c r="K394" s="130"/>
      <c r="L394" s="130"/>
      <c r="M394" s="130"/>
      <c r="N394" s="130"/>
    </row>
    <row r="395" spans="1:17" x14ac:dyDescent="0.25">
      <c r="A395" s="24"/>
      <c r="B395" s="13"/>
      <c r="C395" s="62" t="s">
        <v>250</v>
      </c>
      <c r="D395" s="130"/>
      <c r="E395" s="146"/>
      <c r="F395" s="130"/>
      <c r="G395" s="130"/>
      <c r="H395" s="130"/>
      <c r="I395" s="130">
        <v>1468.9</v>
      </c>
      <c r="J395" s="130"/>
      <c r="K395" s="130">
        <v>1468.9</v>
      </c>
      <c r="L395" s="130">
        <v>1342</v>
      </c>
      <c r="M395" s="130"/>
      <c r="N395" s="130">
        <v>1342</v>
      </c>
    </row>
    <row r="396" spans="1:17" x14ac:dyDescent="0.25">
      <c r="A396" s="24"/>
      <c r="B396" s="13"/>
      <c r="C396" s="62" t="s">
        <v>354</v>
      </c>
      <c r="D396" s="130">
        <v>0</v>
      </c>
      <c r="E396" s="146"/>
      <c r="F396" s="130">
        <f>E396</f>
        <v>0</v>
      </c>
      <c r="G396" s="130"/>
      <c r="H396" s="130">
        <f>G396</f>
        <v>0</v>
      </c>
      <c r="I396" s="130">
        <v>489.6</v>
      </c>
      <c r="J396" s="130"/>
      <c r="K396" s="130">
        <v>489.6</v>
      </c>
      <c r="L396" s="130">
        <v>447.3</v>
      </c>
      <c r="M396" s="130"/>
      <c r="N396" s="130">
        <v>447.3</v>
      </c>
    </row>
    <row r="397" spans="1:17" ht="26.25" x14ac:dyDescent="0.25">
      <c r="A397" s="24"/>
      <c r="B397" s="24" t="s">
        <v>362</v>
      </c>
      <c r="C397" s="3" t="s">
        <v>363</v>
      </c>
      <c r="D397" s="141">
        <v>0</v>
      </c>
      <c r="E397" s="165">
        <f>E400</f>
        <v>314.50943999999998</v>
      </c>
      <c r="F397" s="141">
        <f>F400</f>
        <v>155.23535999999999</v>
      </c>
      <c r="G397" s="141">
        <f>G400</f>
        <v>0</v>
      </c>
      <c r="H397" s="141">
        <f>H400</f>
        <v>155.23535999999999</v>
      </c>
      <c r="I397" s="130">
        <f>I398+I399+I400</f>
        <v>0</v>
      </c>
      <c r="J397" s="130"/>
      <c r="K397" s="130">
        <f>K398+K399+K400</f>
        <v>0</v>
      </c>
      <c r="L397" s="130">
        <f>L398+L399+L400</f>
        <v>0</v>
      </c>
      <c r="M397" s="130"/>
      <c r="N397" s="130">
        <f>N398+N399+N400</f>
        <v>0</v>
      </c>
    </row>
    <row r="398" spans="1:17" x14ac:dyDescent="0.25">
      <c r="A398" s="24"/>
      <c r="B398" s="13"/>
      <c r="C398" s="62" t="s">
        <v>182</v>
      </c>
      <c r="D398" s="130">
        <v>0</v>
      </c>
      <c r="E398" s="146"/>
      <c r="F398" s="130">
        <v>0</v>
      </c>
      <c r="G398" s="130"/>
      <c r="H398" s="130">
        <v>0</v>
      </c>
      <c r="I398" s="130">
        <v>0</v>
      </c>
      <c r="J398" s="130"/>
      <c r="K398" s="130">
        <v>0</v>
      </c>
      <c r="L398" s="130">
        <v>0</v>
      </c>
      <c r="M398" s="130"/>
      <c r="N398" s="130">
        <v>0</v>
      </c>
    </row>
    <row r="399" spans="1:17" x14ac:dyDescent="0.25">
      <c r="A399" s="24"/>
      <c r="B399" s="13"/>
      <c r="C399" s="62" t="s">
        <v>250</v>
      </c>
      <c r="D399" s="130">
        <v>0</v>
      </c>
      <c r="E399" s="146"/>
      <c r="F399" s="130">
        <v>0</v>
      </c>
      <c r="G399" s="130"/>
      <c r="H399" s="130">
        <v>0</v>
      </c>
      <c r="I399" s="130">
        <v>0</v>
      </c>
      <c r="J399" s="130"/>
      <c r="K399" s="130">
        <v>0</v>
      </c>
      <c r="L399" s="130">
        <v>0</v>
      </c>
      <c r="M399" s="130"/>
      <c r="N399" s="130">
        <v>0</v>
      </c>
    </row>
    <row r="400" spans="1:17" x14ac:dyDescent="0.25">
      <c r="A400" s="24"/>
      <c r="B400" s="13"/>
      <c r="C400" s="62" t="s">
        <v>354</v>
      </c>
      <c r="D400" s="130">
        <v>0</v>
      </c>
      <c r="E400" s="146">
        <v>314.50943999999998</v>
      </c>
      <c r="F400" s="130">
        <v>155.23535999999999</v>
      </c>
      <c r="G400" s="146"/>
      <c r="H400" s="146">
        <f>SUM(F400:G400)</f>
        <v>155.23535999999999</v>
      </c>
      <c r="I400" s="130">
        <v>0</v>
      </c>
      <c r="J400" s="130"/>
      <c r="K400" s="130">
        <v>0</v>
      </c>
      <c r="L400" s="130">
        <v>0</v>
      </c>
      <c r="M400" s="130"/>
      <c r="N400" s="130">
        <v>0</v>
      </c>
    </row>
    <row r="401" spans="1:15" ht="26.25" x14ac:dyDescent="0.25">
      <c r="A401" s="24" t="s">
        <v>355</v>
      </c>
      <c r="B401" s="7"/>
      <c r="C401" s="3" t="s">
        <v>356</v>
      </c>
      <c r="D401" s="130">
        <f>D403+D404+D405</f>
        <v>3286.9</v>
      </c>
      <c r="E401" s="130"/>
      <c r="F401" s="130">
        <f>F403+F404+F405</f>
        <v>3286.9</v>
      </c>
      <c r="G401" s="130"/>
      <c r="H401" s="130">
        <f>H403+H404+H405</f>
        <v>3286.9</v>
      </c>
      <c r="I401" s="130">
        <f>I403+I404+I405</f>
        <v>11777.9</v>
      </c>
      <c r="J401" s="130"/>
      <c r="K401" s="130">
        <f>K403+K404+K405</f>
        <v>11777.9</v>
      </c>
      <c r="L401" s="130">
        <f>L403+L404+L405</f>
        <v>16641.400000000001</v>
      </c>
      <c r="M401" s="130"/>
      <c r="N401" s="130">
        <f>N403+N404+N405</f>
        <v>16641.400000000001</v>
      </c>
      <c r="O401" s="63"/>
    </row>
    <row r="402" spans="1:15" ht="26.25" x14ac:dyDescent="0.25">
      <c r="A402" s="24"/>
      <c r="B402" s="24" t="s">
        <v>336</v>
      </c>
      <c r="C402" s="65" t="s">
        <v>337</v>
      </c>
      <c r="D402" s="130">
        <v>3286.9</v>
      </c>
      <c r="E402" s="130"/>
      <c r="F402" s="130">
        <v>3286.9</v>
      </c>
      <c r="G402" s="130"/>
      <c r="H402" s="130">
        <v>3286.9</v>
      </c>
      <c r="I402" s="130">
        <v>11777.9</v>
      </c>
      <c r="J402" s="130"/>
      <c r="K402" s="130">
        <v>11777.9</v>
      </c>
      <c r="L402" s="130">
        <v>16641.400000000001</v>
      </c>
      <c r="M402" s="130"/>
      <c r="N402" s="130">
        <v>16641.400000000001</v>
      </c>
      <c r="O402" s="63"/>
    </row>
    <row r="403" spans="1:15" x14ac:dyDescent="0.25">
      <c r="A403" s="24"/>
      <c r="B403" s="7"/>
      <c r="C403" s="62" t="s">
        <v>182</v>
      </c>
      <c r="D403" s="130">
        <v>2185.8000000000002</v>
      </c>
      <c r="E403" s="130"/>
      <c r="F403" s="130">
        <v>2185.8000000000002</v>
      </c>
      <c r="G403" s="130"/>
      <c r="H403" s="130">
        <v>2185.8000000000002</v>
      </c>
      <c r="I403" s="130">
        <v>7832.3</v>
      </c>
      <c r="J403" s="130"/>
      <c r="K403" s="130">
        <v>7832.3</v>
      </c>
      <c r="L403" s="130">
        <v>11066.5</v>
      </c>
      <c r="M403" s="130"/>
      <c r="N403" s="130">
        <v>11066.5</v>
      </c>
      <c r="O403" s="63"/>
    </row>
    <row r="404" spans="1:15" x14ac:dyDescent="0.25">
      <c r="A404" s="24"/>
      <c r="B404" s="7"/>
      <c r="C404" s="62" t="s">
        <v>250</v>
      </c>
      <c r="D404" s="130">
        <v>115</v>
      </c>
      <c r="E404" s="130"/>
      <c r="F404" s="130">
        <v>115</v>
      </c>
      <c r="G404" s="130"/>
      <c r="H404" s="130">
        <v>115</v>
      </c>
      <c r="I404" s="130">
        <v>412.2</v>
      </c>
      <c r="J404" s="130"/>
      <c r="K404" s="130">
        <v>412.2</v>
      </c>
      <c r="L404" s="130">
        <v>582.5</v>
      </c>
      <c r="M404" s="130"/>
      <c r="N404" s="130">
        <v>582.5</v>
      </c>
      <c r="O404" s="63"/>
    </row>
    <row r="405" spans="1:15" x14ac:dyDescent="0.25">
      <c r="A405" s="24"/>
      <c r="B405" s="7"/>
      <c r="C405" s="62" t="s">
        <v>354</v>
      </c>
      <c r="D405" s="130">
        <v>986.1</v>
      </c>
      <c r="E405" s="130"/>
      <c r="F405" s="130">
        <v>986.1</v>
      </c>
      <c r="G405" s="130"/>
      <c r="H405" s="130">
        <v>986.1</v>
      </c>
      <c r="I405" s="130">
        <v>3533.4</v>
      </c>
      <c r="J405" s="130"/>
      <c r="K405" s="130">
        <v>3533.4</v>
      </c>
      <c r="L405" s="130">
        <v>4992.3999999999996</v>
      </c>
      <c r="M405" s="130"/>
      <c r="N405" s="130">
        <v>4992.3999999999996</v>
      </c>
      <c r="O405" s="63"/>
    </row>
    <row r="406" spans="1:15" ht="26.25" x14ac:dyDescent="0.25">
      <c r="A406" s="36" t="s">
        <v>357</v>
      </c>
      <c r="B406" s="39"/>
      <c r="C406" s="22" t="s">
        <v>358</v>
      </c>
      <c r="D406" s="150">
        <f>D409+D415</f>
        <v>1698.3</v>
      </c>
      <c r="E406" s="150"/>
      <c r="F406" s="150">
        <f>F409+F415</f>
        <v>1698.3</v>
      </c>
      <c r="G406" s="150">
        <f>G409+G415</f>
        <v>0</v>
      </c>
      <c r="H406" s="150">
        <f>H409+H415</f>
        <v>1698.3</v>
      </c>
      <c r="I406" s="150">
        <f>I409+I415</f>
        <v>0</v>
      </c>
      <c r="J406" s="150"/>
      <c r="K406" s="150">
        <f>K409+K415</f>
        <v>0</v>
      </c>
      <c r="L406" s="150">
        <f>L409+L415</f>
        <v>0</v>
      </c>
      <c r="M406" s="150"/>
      <c r="N406" s="150">
        <f>N409+N415</f>
        <v>0</v>
      </c>
      <c r="O406" s="63"/>
    </row>
    <row r="407" spans="1:15" s="44" customFormat="1" ht="26.25" x14ac:dyDescent="0.25">
      <c r="A407" s="7" t="s">
        <v>584</v>
      </c>
      <c r="B407" s="7"/>
      <c r="C407" s="20" t="s">
        <v>352</v>
      </c>
      <c r="D407" s="130">
        <f>D409+D415</f>
        <v>1698.3</v>
      </c>
      <c r="E407" s="130"/>
      <c r="F407" s="130">
        <f>F409+F415</f>
        <v>1698.3</v>
      </c>
      <c r="G407" s="130">
        <f>G409+G415</f>
        <v>0</v>
      </c>
      <c r="H407" s="130">
        <f>H409+H415</f>
        <v>1698.3</v>
      </c>
      <c r="I407" s="130">
        <f>I409+I415</f>
        <v>0</v>
      </c>
      <c r="J407" s="130"/>
      <c r="K407" s="130">
        <f>K409+K415</f>
        <v>0</v>
      </c>
      <c r="L407" s="130">
        <f>L409+L415</f>
        <v>0</v>
      </c>
      <c r="M407" s="130"/>
      <c r="N407" s="130">
        <f>N409+N415</f>
        <v>0</v>
      </c>
      <c r="O407" s="64"/>
    </row>
    <row r="408" spans="1:15" s="44" customFormat="1" x14ac:dyDescent="0.25">
      <c r="A408" s="7"/>
      <c r="B408" s="7"/>
      <c r="C408" s="20" t="s">
        <v>286</v>
      </c>
      <c r="D408" s="130"/>
      <c r="E408" s="130"/>
      <c r="F408" s="130"/>
      <c r="G408" s="130"/>
      <c r="H408" s="130"/>
      <c r="I408" s="130"/>
      <c r="J408" s="130"/>
      <c r="K408" s="130"/>
      <c r="L408" s="130"/>
      <c r="M408" s="130"/>
      <c r="N408" s="130"/>
      <c r="O408" s="64"/>
    </row>
    <row r="409" spans="1:15" x14ac:dyDescent="0.25">
      <c r="A409" s="7"/>
      <c r="B409" s="7"/>
      <c r="C409" s="61" t="s">
        <v>359</v>
      </c>
      <c r="D409" s="141">
        <f>D411+D412+D413+D414</f>
        <v>1428</v>
      </c>
      <c r="E409" s="141"/>
      <c r="F409" s="141">
        <f>F411+F412+F413+F414</f>
        <v>1428</v>
      </c>
      <c r="G409" s="141"/>
      <c r="H409" s="141">
        <f>H411+H412+H413+H414</f>
        <v>1428</v>
      </c>
      <c r="I409" s="141">
        <v>0</v>
      </c>
      <c r="J409" s="141"/>
      <c r="K409" s="141">
        <v>0</v>
      </c>
      <c r="L409" s="141">
        <v>0</v>
      </c>
      <c r="M409" s="141"/>
      <c r="N409" s="141">
        <v>0</v>
      </c>
      <c r="O409" s="63"/>
    </row>
    <row r="410" spans="1:15" ht="26.25" x14ac:dyDescent="0.25">
      <c r="A410" s="7"/>
      <c r="B410" s="24" t="s">
        <v>362</v>
      </c>
      <c r="C410" s="3" t="s">
        <v>363</v>
      </c>
      <c r="D410" s="141">
        <v>1428</v>
      </c>
      <c r="E410" s="141"/>
      <c r="F410" s="141">
        <v>1428</v>
      </c>
      <c r="G410" s="141"/>
      <c r="H410" s="141">
        <v>1428</v>
      </c>
      <c r="I410" s="141">
        <v>0</v>
      </c>
      <c r="J410" s="141"/>
      <c r="K410" s="141">
        <v>0</v>
      </c>
      <c r="L410" s="141">
        <v>0</v>
      </c>
      <c r="M410" s="141"/>
      <c r="N410" s="141">
        <v>0</v>
      </c>
      <c r="O410" s="63"/>
    </row>
    <row r="411" spans="1:15" x14ac:dyDescent="0.25">
      <c r="A411" s="7"/>
      <c r="B411" s="7"/>
      <c r="C411" s="62" t="s">
        <v>182</v>
      </c>
      <c r="D411" s="130">
        <v>0</v>
      </c>
      <c r="E411" s="130"/>
      <c r="F411" s="130">
        <v>0</v>
      </c>
      <c r="G411" s="130"/>
      <c r="H411" s="130">
        <v>0</v>
      </c>
      <c r="I411" s="130"/>
      <c r="J411" s="130"/>
      <c r="K411" s="130">
        <v>0</v>
      </c>
      <c r="L411" s="130"/>
      <c r="M411" s="130"/>
      <c r="N411" s="130">
        <v>0</v>
      </c>
      <c r="O411" s="63"/>
    </row>
    <row r="412" spans="1:15" x14ac:dyDescent="0.25">
      <c r="A412" s="7"/>
      <c r="B412" s="7"/>
      <c r="C412" s="62" t="s">
        <v>250</v>
      </c>
      <c r="D412" s="130">
        <v>0</v>
      </c>
      <c r="E412" s="130"/>
      <c r="F412" s="130">
        <v>0</v>
      </c>
      <c r="G412" s="130"/>
      <c r="H412" s="130">
        <v>0</v>
      </c>
      <c r="I412" s="130"/>
      <c r="J412" s="130"/>
      <c r="K412" s="130">
        <v>0</v>
      </c>
      <c r="L412" s="130"/>
      <c r="M412" s="130"/>
      <c r="N412" s="130">
        <v>0</v>
      </c>
      <c r="O412" s="63"/>
    </row>
    <row r="413" spans="1:15" x14ac:dyDescent="0.25">
      <c r="A413" s="7"/>
      <c r="B413" s="7"/>
      <c r="C413" s="62" t="s">
        <v>354</v>
      </c>
      <c r="D413" s="146">
        <v>1428</v>
      </c>
      <c r="E413" s="146"/>
      <c r="F413" s="146">
        <v>1428</v>
      </c>
      <c r="G413" s="146"/>
      <c r="H413" s="146">
        <v>1428</v>
      </c>
      <c r="I413" s="146">
        <v>0</v>
      </c>
      <c r="J413" s="146"/>
      <c r="K413" s="146">
        <v>0</v>
      </c>
      <c r="L413" s="146">
        <v>0</v>
      </c>
      <c r="M413" s="146"/>
      <c r="N413" s="146">
        <v>0</v>
      </c>
      <c r="O413" s="63"/>
    </row>
    <row r="414" spans="1:15" x14ac:dyDescent="0.25">
      <c r="A414" s="7"/>
      <c r="B414" s="7"/>
      <c r="C414" s="62" t="s">
        <v>360</v>
      </c>
      <c r="D414" s="130">
        <v>0</v>
      </c>
      <c r="E414" s="130"/>
      <c r="F414" s="130">
        <v>0</v>
      </c>
      <c r="G414" s="130"/>
      <c r="H414" s="130">
        <v>0</v>
      </c>
      <c r="I414" s="130"/>
      <c r="J414" s="130"/>
      <c r="K414" s="130">
        <v>0</v>
      </c>
      <c r="L414" s="130"/>
      <c r="M414" s="130"/>
      <c r="N414" s="130">
        <v>0</v>
      </c>
      <c r="O414" s="63"/>
    </row>
    <row r="415" spans="1:15" ht="39" x14ac:dyDescent="0.25">
      <c r="A415" s="7"/>
      <c r="B415" s="7"/>
      <c r="C415" s="61" t="s">
        <v>361</v>
      </c>
      <c r="D415" s="141">
        <f>D416</f>
        <v>270.3</v>
      </c>
      <c r="E415" s="141"/>
      <c r="F415" s="141">
        <f>F416</f>
        <v>270.3</v>
      </c>
      <c r="G415" s="141">
        <f>G416</f>
        <v>0</v>
      </c>
      <c r="H415" s="141">
        <f>H416</f>
        <v>270.3</v>
      </c>
      <c r="I415" s="141">
        <f>I416</f>
        <v>0</v>
      </c>
      <c r="J415" s="141"/>
      <c r="K415" s="141">
        <f>K416</f>
        <v>0</v>
      </c>
      <c r="L415" s="141">
        <f>L416</f>
        <v>0</v>
      </c>
      <c r="M415" s="141"/>
      <c r="N415" s="141">
        <f>N416</f>
        <v>0</v>
      </c>
      <c r="O415" s="63"/>
    </row>
    <row r="416" spans="1:15" ht="26.25" x14ac:dyDescent="0.25">
      <c r="A416" s="7"/>
      <c r="B416" s="24" t="s">
        <v>362</v>
      </c>
      <c r="C416" s="3" t="s">
        <v>363</v>
      </c>
      <c r="D416" s="130">
        <f>D417+D418+D419+D420</f>
        <v>270.3</v>
      </c>
      <c r="E416" s="130"/>
      <c r="F416" s="130">
        <f>F417+F418+F419+F420</f>
        <v>270.3</v>
      </c>
      <c r="G416" s="130"/>
      <c r="H416" s="130">
        <f>H417+H418+H419+H420</f>
        <v>270.3</v>
      </c>
      <c r="I416" s="130">
        <v>0</v>
      </c>
      <c r="J416" s="130"/>
      <c r="K416" s="130">
        <v>0</v>
      </c>
      <c r="L416" s="130">
        <v>0</v>
      </c>
      <c r="M416" s="130"/>
      <c r="N416" s="130">
        <v>0</v>
      </c>
      <c r="O416" s="63"/>
    </row>
    <row r="417" spans="1:15" x14ac:dyDescent="0.25">
      <c r="A417" s="7"/>
      <c r="B417" s="7"/>
      <c r="C417" s="62" t="s">
        <v>182</v>
      </c>
      <c r="D417" s="130">
        <v>0</v>
      </c>
      <c r="E417" s="130"/>
      <c r="F417" s="130">
        <v>0</v>
      </c>
      <c r="G417" s="130"/>
      <c r="H417" s="130">
        <v>0</v>
      </c>
      <c r="I417" s="130"/>
      <c r="J417" s="130"/>
      <c r="K417" s="130">
        <v>0</v>
      </c>
      <c r="L417" s="130"/>
      <c r="M417" s="130"/>
      <c r="N417" s="130">
        <v>0</v>
      </c>
      <c r="O417" s="63"/>
    </row>
    <row r="418" spans="1:15" x14ac:dyDescent="0.25">
      <c r="A418" s="7"/>
      <c r="B418" s="7"/>
      <c r="C418" s="62" t="s">
        <v>250</v>
      </c>
      <c r="D418" s="130">
        <v>0</v>
      </c>
      <c r="E418" s="130"/>
      <c r="F418" s="130">
        <v>0</v>
      </c>
      <c r="G418" s="130"/>
      <c r="H418" s="130">
        <v>0</v>
      </c>
      <c r="I418" s="130"/>
      <c r="J418" s="130"/>
      <c r="K418" s="130">
        <v>0</v>
      </c>
      <c r="L418" s="130"/>
      <c r="M418" s="130"/>
      <c r="N418" s="130">
        <v>0</v>
      </c>
      <c r="O418" s="63"/>
    </row>
    <row r="419" spans="1:15" x14ac:dyDescent="0.25">
      <c r="A419" s="7"/>
      <c r="B419" s="7"/>
      <c r="C419" s="62" t="s">
        <v>354</v>
      </c>
      <c r="D419" s="146">
        <v>270.3</v>
      </c>
      <c r="E419" s="146"/>
      <c r="F419" s="146">
        <v>270.3</v>
      </c>
      <c r="G419" s="146"/>
      <c r="H419" s="146">
        <v>270.3</v>
      </c>
      <c r="I419" s="146"/>
      <c r="J419" s="146"/>
      <c r="K419" s="146">
        <v>0</v>
      </c>
      <c r="L419" s="146"/>
      <c r="M419" s="146"/>
      <c r="N419" s="146">
        <v>0</v>
      </c>
      <c r="O419" s="63"/>
    </row>
    <row r="420" spans="1:15" x14ac:dyDescent="0.25">
      <c r="A420" s="7"/>
      <c r="B420" s="7"/>
      <c r="C420" s="62" t="s">
        <v>360</v>
      </c>
      <c r="D420" s="130">
        <v>0</v>
      </c>
      <c r="E420" s="130"/>
      <c r="F420" s="130">
        <v>0</v>
      </c>
      <c r="G420" s="130"/>
      <c r="H420" s="130">
        <v>0</v>
      </c>
      <c r="I420" s="130"/>
      <c r="J420" s="130"/>
      <c r="K420" s="130">
        <v>0</v>
      </c>
      <c r="L420" s="130"/>
      <c r="M420" s="130"/>
      <c r="N420" s="130">
        <v>0</v>
      </c>
      <c r="O420" s="63"/>
    </row>
    <row r="421" spans="1:15" ht="26.25" x14ac:dyDescent="0.25">
      <c r="A421" s="34" t="s">
        <v>364</v>
      </c>
      <c r="B421" s="34"/>
      <c r="C421" s="60" t="s">
        <v>365</v>
      </c>
      <c r="D421" s="139" t="e">
        <f>#REF!+D422+D447</f>
        <v>#REF!</v>
      </c>
      <c r="E421" s="139" t="e">
        <f>#REF!+E422+E447</f>
        <v>#REF!</v>
      </c>
      <c r="F421" s="139">
        <f>F422+F447+F459</f>
        <v>12391.136489999997</v>
      </c>
      <c r="G421" s="139">
        <f t="shared" ref="G421:N421" si="35">G422+G447+G459</f>
        <v>-33.1</v>
      </c>
      <c r="H421" s="139">
        <f t="shared" si="35"/>
        <v>12358.036489999997</v>
      </c>
      <c r="I421" s="139">
        <f>I422+I447+I459</f>
        <v>1465.59845</v>
      </c>
      <c r="J421" s="139">
        <f t="shared" si="35"/>
        <v>0</v>
      </c>
      <c r="K421" s="139">
        <f t="shared" si="35"/>
        <v>1465.59845</v>
      </c>
      <c r="L421" s="139">
        <f t="shared" si="35"/>
        <v>5102</v>
      </c>
      <c r="M421" s="139">
        <f t="shared" si="35"/>
        <v>0</v>
      </c>
      <c r="N421" s="139">
        <f t="shared" si="35"/>
        <v>5102</v>
      </c>
    </row>
    <row r="422" spans="1:15" ht="26.25" x14ac:dyDescent="0.25">
      <c r="A422" s="36" t="s">
        <v>366</v>
      </c>
      <c r="B422" s="36"/>
      <c r="C422" s="22" t="s">
        <v>367</v>
      </c>
      <c r="D422" s="131">
        <f>D435+D437+D432+D423</f>
        <v>8740.905999999999</v>
      </c>
      <c r="E422" s="131"/>
      <c r="F422" s="131">
        <f t="shared" ref="F422:H422" si="36">F435+F437+F432+F423+F440+F443+F445</f>
        <v>10186.705999999998</v>
      </c>
      <c r="G422" s="131">
        <f t="shared" si="36"/>
        <v>-33.1</v>
      </c>
      <c r="H422" s="131">
        <f t="shared" si="36"/>
        <v>10153.605999999998</v>
      </c>
      <c r="I422" s="131">
        <f>I435+I437+I432</f>
        <v>958.19844999999987</v>
      </c>
      <c r="J422" s="131">
        <f>J435+J437+J432</f>
        <v>0</v>
      </c>
      <c r="K422" s="131">
        <f>K435+K437+K432</f>
        <v>958.19844999999987</v>
      </c>
      <c r="L422" s="131">
        <f>L435+L437+L432</f>
        <v>5102</v>
      </c>
      <c r="M422" s="131"/>
      <c r="N422" s="131">
        <f>N435+N437+N432</f>
        <v>5102</v>
      </c>
    </row>
    <row r="423" spans="1:15" s="44" customFormat="1" x14ac:dyDescent="0.25">
      <c r="A423" s="7" t="s">
        <v>761</v>
      </c>
      <c r="B423" s="7"/>
      <c r="C423" s="20" t="s">
        <v>760</v>
      </c>
      <c r="D423" s="130">
        <f>D424+D428</f>
        <v>4450.905999999999</v>
      </c>
      <c r="E423" s="130"/>
      <c r="F423" s="130">
        <f>F424+F428</f>
        <v>4450.905999999999</v>
      </c>
      <c r="G423" s="130"/>
      <c r="H423" s="130">
        <f>H424+H428</f>
        <v>4450.905999999999</v>
      </c>
      <c r="I423" s="130">
        <v>0</v>
      </c>
      <c r="J423" s="130"/>
      <c r="K423" s="130">
        <v>0</v>
      </c>
      <c r="L423" s="130"/>
      <c r="M423" s="130"/>
      <c r="N423" s="130"/>
    </row>
    <row r="424" spans="1:15" s="44" customFormat="1" ht="26.25" x14ac:dyDescent="0.25">
      <c r="A424" s="7"/>
      <c r="B424" s="7" t="s">
        <v>336</v>
      </c>
      <c r="C424" s="3" t="s">
        <v>337</v>
      </c>
      <c r="D424" s="130">
        <f>SUM(D425+D426+D427)</f>
        <v>3850.9149999999995</v>
      </c>
      <c r="E424" s="130"/>
      <c r="F424" s="130">
        <f>SUM(F425+F426+F427)</f>
        <v>3850.9149999999995</v>
      </c>
      <c r="G424" s="130"/>
      <c r="H424" s="130">
        <f>SUM(H425+H426+H427)</f>
        <v>3850.9149999999995</v>
      </c>
      <c r="I424" s="130">
        <v>0</v>
      </c>
      <c r="J424" s="130"/>
      <c r="K424" s="130">
        <v>0</v>
      </c>
      <c r="L424" s="130">
        <v>0</v>
      </c>
      <c r="M424" s="130"/>
      <c r="N424" s="130">
        <v>0</v>
      </c>
    </row>
    <row r="425" spans="1:15" s="44" customFormat="1" x14ac:dyDescent="0.25">
      <c r="A425" s="7"/>
      <c r="B425" s="7"/>
      <c r="C425" s="62" t="s">
        <v>250</v>
      </c>
      <c r="D425" s="130">
        <v>3465.8229999999999</v>
      </c>
      <c r="E425" s="130"/>
      <c r="F425" s="130">
        <v>3465.8229999999999</v>
      </c>
      <c r="G425" s="130"/>
      <c r="H425" s="130">
        <v>3465.8229999999999</v>
      </c>
      <c r="I425" s="130">
        <v>0</v>
      </c>
      <c r="J425" s="130"/>
      <c r="K425" s="130">
        <v>0</v>
      </c>
      <c r="L425" s="130">
        <v>0</v>
      </c>
      <c r="M425" s="130"/>
      <c r="N425" s="130">
        <v>0</v>
      </c>
    </row>
    <row r="426" spans="1:15" s="44" customFormat="1" x14ac:dyDescent="0.25">
      <c r="A426" s="7"/>
      <c r="B426" s="7"/>
      <c r="C426" s="62" t="s">
        <v>354</v>
      </c>
      <c r="D426" s="130">
        <v>192.54599999999999</v>
      </c>
      <c r="E426" s="130"/>
      <c r="F426" s="130">
        <v>192.54599999999999</v>
      </c>
      <c r="G426" s="130"/>
      <c r="H426" s="130">
        <v>192.54599999999999</v>
      </c>
      <c r="I426" s="130">
        <v>0</v>
      </c>
      <c r="J426" s="130"/>
      <c r="K426" s="130">
        <v>0</v>
      </c>
      <c r="L426" s="130"/>
      <c r="M426" s="130"/>
      <c r="N426" s="130"/>
    </row>
    <row r="427" spans="1:15" s="44" customFormat="1" x14ac:dyDescent="0.25">
      <c r="A427" s="7"/>
      <c r="B427" s="7"/>
      <c r="C427" s="62" t="s">
        <v>360</v>
      </c>
      <c r="D427" s="130">
        <v>192.54599999999999</v>
      </c>
      <c r="E427" s="130"/>
      <c r="F427" s="130">
        <v>192.54599999999999</v>
      </c>
      <c r="G427" s="130"/>
      <c r="H427" s="130">
        <v>192.54599999999999</v>
      </c>
      <c r="I427" s="130">
        <v>0</v>
      </c>
      <c r="J427" s="130"/>
      <c r="K427" s="130">
        <v>0</v>
      </c>
      <c r="L427" s="130">
        <v>0</v>
      </c>
      <c r="M427" s="130"/>
      <c r="N427" s="130">
        <v>0</v>
      </c>
    </row>
    <row r="428" spans="1:15" s="44" customFormat="1" ht="26.25" x14ac:dyDescent="0.25">
      <c r="A428" s="7"/>
      <c r="B428" s="7" t="s">
        <v>608</v>
      </c>
      <c r="C428" s="3" t="s">
        <v>609</v>
      </c>
      <c r="D428" s="130">
        <f>D429+D430+D431</f>
        <v>599.99099999999999</v>
      </c>
      <c r="E428" s="130"/>
      <c r="F428" s="130">
        <f>F429+F430+F431</f>
        <v>599.99099999999999</v>
      </c>
      <c r="G428" s="130"/>
      <c r="H428" s="130">
        <f>H429+H430+H431</f>
        <v>599.99099999999999</v>
      </c>
      <c r="I428" s="130">
        <v>0</v>
      </c>
      <c r="J428" s="130"/>
      <c r="K428" s="130">
        <v>0</v>
      </c>
      <c r="L428" s="130">
        <v>0</v>
      </c>
      <c r="M428" s="130"/>
      <c r="N428" s="130">
        <v>0</v>
      </c>
    </row>
    <row r="429" spans="1:15" s="44" customFormat="1" x14ac:dyDescent="0.25">
      <c r="A429" s="7"/>
      <c r="B429" s="7"/>
      <c r="C429" s="62" t="s">
        <v>250</v>
      </c>
      <c r="D429" s="130">
        <v>539.99099999999999</v>
      </c>
      <c r="E429" s="130"/>
      <c r="F429" s="130">
        <v>539.99099999999999</v>
      </c>
      <c r="G429" s="130"/>
      <c r="H429" s="130">
        <v>539.99099999999999</v>
      </c>
      <c r="I429" s="130">
        <v>0</v>
      </c>
      <c r="J429" s="130"/>
      <c r="K429" s="130">
        <v>0</v>
      </c>
      <c r="L429" s="130">
        <v>0</v>
      </c>
      <c r="M429" s="130"/>
      <c r="N429" s="130">
        <v>0</v>
      </c>
    </row>
    <row r="430" spans="1:15" s="44" customFormat="1" x14ac:dyDescent="0.25">
      <c r="A430" s="7"/>
      <c r="B430" s="7"/>
      <c r="C430" s="62" t="s">
        <v>354</v>
      </c>
      <c r="D430" s="130">
        <v>30</v>
      </c>
      <c r="E430" s="130"/>
      <c r="F430" s="130">
        <v>30</v>
      </c>
      <c r="G430" s="130"/>
      <c r="H430" s="130">
        <v>30</v>
      </c>
      <c r="I430" s="130">
        <v>0</v>
      </c>
      <c r="J430" s="130"/>
      <c r="K430" s="130">
        <v>0</v>
      </c>
      <c r="L430" s="130">
        <v>0</v>
      </c>
      <c r="M430" s="130"/>
      <c r="N430" s="130">
        <v>0</v>
      </c>
    </row>
    <row r="431" spans="1:15" s="44" customFormat="1" x14ac:dyDescent="0.25">
      <c r="A431" s="7"/>
      <c r="B431" s="7"/>
      <c r="C431" s="62" t="s">
        <v>360</v>
      </c>
      <c r="D431" s="130">
        <v>30</v>
      </c>
      <c r="E431" s="130"/>
      <c r="F431" s="130">
        <v>30</v>
      </c>
      <c r="G431" s="130"/>
      <c r="H431" s="130">
        <v>30</v>
      </c>
      <c r="I431" s="130">
        <v>0</v>
      </c>
      <c r="J431" s="130"/>
      <c r="K431" s="130">
        <v>0</v>
      </c>
      <c r="L431" s="130">
        <v>0</v>
      </c>
      <c r="M431" s="130"/>
      <c r="N431" s="130">
        <v>0</v>
      </c>
    </row>
    <row r="432" spans="1:15" ht="39" x14ac:dyDescent="0.25">
      <c r="A432" s="7" t="s">
        <v>372</v>
      </c>
      <c r="B432" s="13"/>
      <c r="C432" s="65" t="s">
        <v>368</v>
      </c>
      <c r="D432" s="146">
        <f>D434</f>
        <v>0</v>
      </c>
      <c r="E432" s="146"/>
      <c r="F432" s="146">
        <f>F434</f>
        <v>0</v>
      </c>
      <c r="G432" s="146"/>
      <c r="H432" s="146">
        <f>H434</f>
        <v>0</v>
      </c>
      <c r="I432" s="146">
        <f t="shared" ref="I432:L433" si="37">I433</f>
        <v>0</v>
      </c>
      <c r="J432" s="146">
        <f t="shared" si="37"/>
        <v>0</v>
      </c>
      <c r="K432" s="146">
        <f t="shared" si="37"/>
        <v>0</v>
      </c>
      <c r="L432" s="146">
        <f t="shared" si="37"/>
        <v>463</v>
      </c>
      <c r="M432" s="146"/>
      <c r="N432" s="146">
        <f>N433</f>
        <v>463</v>
      </c>
    </row>
    <row r="433" spans="1:14" ht="26.25" x14ac:dyDescent="0.25">
      <c r="A433" s="7"/>
      <c r="B433" s="7" t="s">
        <v>336</v>
      </c>
      <c r="C433" s="3" t="s">
        <v>337</v>
      </c>
      <c r="D433" s="146">
        <v>0</v>
      </c>
      <c r="E433" s="146"/>
      <c r="F433" s="146">
        <v>0</v>
      </c>
      <c r="G433" s="146"/>
      <c r="H433" s="146">
        <v>0</v>
      </c>
      <c r="I433" s="146">
        <f t="shared" si="37"/>
        <v>0</v>
      </c>
      <c r="J433" s="146">
        <f t="shared" si="37"/>
        <v>0</v>
      </c>
      <c r="K433" s="146">
        <f t="shared" si="37"/>
        <v>0</v>
      </c>
      <c r="L433" s="146">
        <f t="shared" si="37"/>
        <v>463</v>
      </c>
      <c r="M433" s="146"/>
      <c r="N433" s="146">
        <f>N434</f>
        <v>463</v>
      </c>
    </row>
    <row r="434" spans="1:14" x14ac:dyDescent="0.25">
      <c r="A434" s="7"/>
      <c r="B434" s="13"/>
      <c r="C434" s="10" t="s">
        <v>120</v>
      </c>
      <c r="D434" s="146">
        <f>2200-2200</f>
        <v>0</v>
      </c>
      <c r="E434" s="146"/>
      <c r="F434" s="146">
        <f>2200-2200</f>
        <v>0</v>
      </c>
      <c r="G434" s="146"/>
      <c r="H434" s="146">
        <f>2200-2200</f>
        <v>0</v>
      </c>
      <c r="I434" s="146">
        <v>0</v>
      </c>
      <c r="J434" s="146"/>
      <c r="K434" s="146">
        <v>0</v>
      </c>
      <c r="L434" s="146">
        <f>1297-350-484</f>
        <v>463</v>
      </c>
      <c r="M434" s="146"/>
      <c r="N434" s="146">
        <f>1297-350-484</f>
        <v>463</v>
      </c>
    </row>
    <row r="435" spans="1:14" ht="25.5" x14ac:dyDescent="0.25">
      <c r="A435" s="17" t="s">
        <v>369</v>
      </c>
      <c r="B435" s="17"/>
      <c r="C435" s="1" t="s">
        <v>585</v>
      </c>
      <c r="D435" s="146">
        <v>2690</v>
      </c>
      <c r="E435" s="146"/>
      <c r="F435" s="146">
        <v>2690</v>
      </c>
      <c r="G435" s="146"/>
      <c r="H435" s="146">
        <v>2690</v>
      </c>
      <c r="I435" s="146">
        <f>I436</f>
        <v>497.59999999999991</v>
      </c>
      <c r="J435" s="146">
        <f>J436</f>
        <v>0</v>
      </c>
      <c r="K435" s="146">
        <f>K436</f>
        <v>497.59999999999991</v>
      </c>
      <c r="L435" s="146">
        <v>2909</v>
      </c>
      <c r="M435" s="146"/>
      <c r="N435" s="146">
        <v>2909</v>
      </c>
    </row>
    <row r="436" spans="1:14" ht="26.25" x14ac:dyDescent="0.25">
      <c r="A436" s="17"/>
      <c r="B436" s="7" t="s">
        <v>336</v>
      </c>
      <c r="C436" s="3" t="s">
        <v>337</v>
      </c>
      <c r="D436" s="146">
        <v>2690</v>
      </c>
      <c r="E436" s="146"/>
      <c r="F436" s="146">
        <v>2690</v>
      </c>
      <c r="G436" s="146"/>
      <c r="H436" s="146">
        <v>2690</v>
      </c>
      <c r="I436" s="146">
        <v>497.59999999999991</v>
      </c>
      <c r="J436" s="146"/>
      <c r="K436" s="146">
        <f>SUM(I436:J436)</f>
        <v>497.59999999999991</v>
      </c>
      <c r="L436" s="146">
        <v>2909</v>
      </c>
      <c r="M436" s="146"/>
      <c r="N436" s="146">
        <v>2909</v>
      </c>
    </row>
    <row r="437" spans="1:14" ht="25.5" x14ac:dyDescent="0.25">
      <c r="A437" s="17" t="s">
        <v>370</v>
      </c>
      <c r="B437" s="17"/>
      <c r="C437" s="1" t="s">
        <v>371</v>
      </c>
      <c r="D437" s="146">
        <v>1600</v>
      </c>
      <c r="E437" s="146"/>
      <c r="F437" s="146">
        <f>F438+F439</f>
        <v>2074.8000000000002</v>
      </c>
      <c r="G437" s="146">
        <f>G439</f>
        <v>0</v>
      </c>
      <c r="H437" s="146">
        <f>H438+H439</f>
        <v>2074.8000000000002</v>
      </c>
      <c r="I437" s="146">
        <f>I438</f>
        <v>460.59844999999996</v>
      </c>
      <c r="J437" s="146">
        <f>J438</f>
        <v>0</v>
      </c>
      <c r="K437" s="146">
        <f>K438</f>
        <v>460.59844999999996</v>
      </c>
      <c r="L437" s="146">
        <v>1730</v>
      </c>
      <c r="M437" s="146"/>
      <c r="N437" s="146">
        <v>1730</v>
      </c>
    </row>
    <row r="438" spans="1:14" ht="26.25" x14ac:dyDescent="0.25">
      <c r="A438" s="17"/>
      <c r="B438" s="7" t="s">
        <v>336</v>
      </c>
      <c r="C438" s="3" t="s">
        <v>337</v>
      </c>
      <c r="D438" s="146">
        <v>1600</v>
      </c>
      <c r="E438" s="146"/>
      <c r="F438" s="146">
        <v>1801</v>
      </c>
      <c r="G438" s="146"/>
      <c r="H438" s="146">
        <f>SUM(F438:G438)</f>
        <v>1801</v>
      </c>
      <c r="I438" s="146">
        <v>460.59844999999996</v>
      </c>
      <c r="J438" s="146"/>
      <c r="K438" s="146">
        <f>SUM(I438:J438)</f>
        <v>460.59844999999996</v>
      </c>
      <c r="L438" s="146">
        <v>1730</v>
      </c>
      <c r="M438" s="146"/>
      <c r="N438" s="146">
        <v>1730</v>
      </c>
    </row>
    <row r="439" spans="1:14" ht="25.5" x14ac:dyDescent="0.25">
      <c r="A439" s="17"/>
      <c r="B439" s="7" t="s">
        <v>608</v>
      </c>
      <c r="C439" s="1" t="s">
        <v>609</v>
      </c>
      <c r="D439" s="146"/>
      <c r="E439" s="146"/>
      <c r="F439" s="146">
        <v>273.8</v>
      </c>
      <c r="G439" s="146"/>
      <c r="H439" s="146">
        <v>273.8</v>
      </c>
      <c r="I439" s="146"/>
      <c r="J439" s="146"/>
      <c r="K439" s="146">
        <v>0</v>
      </c>
      <c r="L439" s="146"/>
      <c r="M439" s="146"/>
      <c r="N439" s="146">
        <v>0</v>
      </c>
    </row>
    <row r="440" spans="1:14" x14ac:dyDescent="0.25">
      <c r="A440" s="17" t="s">
        <v>801</v>
      </c>
      <c r="B440" s="7"/>
      <c r="C440" s="3" t="s">
        <v>802</v>
      </c>
      <c r="D440" s="146"/>
      <c r="E440" s="146"/>
      <c r="F440" s="146">
        <f>F441+F442</f>
        <v>821</v>
      </c>
      <c r="G440" s="146">
        <f>G442</f>
        <v>-33.1</v>
      </c>
      <c r="H440" s="146">
        <f>H441+H442</f>
        <v>787.9</v>
      </c>
      <c r="I440" s="146"/>
      <c r="J440" s="146"/>
      <c r="K440" s="146">
        <v>0</v>
      </c>
      <c r="L440" s="146"/>
      <c r="M440" s="146"/>
      <c r="N440" s="146">
        <v>0</v>
      </c>
    </row>
    <row r="441" spans="1:14" ht="26.25" x14ac:dyDescent="0.25">
      <c r="A441" s="17"/>
      <c r="B441" s="7" t="s">
        <v>336</v>
      </c>
      <c r="C441" s="3" t="s">
        <v>337</v>
      </c>
      <c r="D441" s="146"/>
      <c r="E441" s="146"/>
      <c r="F441" s="146">
        <v>600</v>
      </c>
      <c r="G441" s="146"/>
      <c r="H441" s="146">
        <f>F441+G441</f>
        <v>600</v>
      </c>
      <c r="I441" s="146"/>
      <c r="J441" s="146"/>
      <c r="K441" s="146">
        <v>0</v>
      </c>
      <c r="L441" s="146"/>
      <c r="M441" s="146"/>
      <c r="N441" s="146">
        <v>0</v>
      </c>
    </row>
    <row r="442" spans="1:14" ht="25.5" x14ac:dyDescent="0.25">
      <c r="A442" s="17"/>
      <c r="B442" s="7" t="s">
        <v>608</v>
      </c>
      <c r="C442" s="1" t="s">
        <v>609</v>
      </c>
      <c r="D442" s="146"/>
      <c r="E442" s="146"/>
      <c r="F442" s="146">
        <v>221</v>
      </c>
      <c r="G442" s="146">
        <v>-33.1</v>
      </c>
      <c r="H442" s="146">
        <f>F442+G442</f>
        <v>187.9</v>
      </c>
      <c r="I442" s="146"/>
      <c r="J442" s="146"/>
      <c r="K442" s="146">
        <v>0</v>
      </c>
      <c r="L442" s="146"/>
      <c r="M442" s="146"/>
      <c r="N442" s="146">
        <v>0</v>
      </c>
    </row>
    <row r="443" spans="1:14" x14ac:dyDescent="0.25">
      <c r="A443" s="17" t="s">
        <v>803</v>
      </c>
      <c r="B443" s="7"/>
      <c r="C443" s="3" t="s">
        <v>804</v>
      </c>
      <c r="D443" s="146"/>
      <c r="E443" s="146"/>
      <c r="F443" s="146">
        <f>F444</f>
        <v>150</v>
      </c>
      <c r="G443" s="146"/>
      <c r="H443" s="146">
        <f>H444</f>
        <v>150</v>
      </c>
      <c r="I443" s="146"/>
      <c r="J443" s="146"/>
      <c r="K443" s="146">
        <v>0</v>
      </c>
      <c r="L443" s="146"/>
      <c r="M443" s="146"/>
      <c r="N443" s="146">
        <v>0</v>
      </c>
    </row>
    <row r="444" spans="1:14" ht="26.25" x14ac:dyDescent="0.25">
      <c r="A444" s="17"/>
      <c r="B444" s="7" t="s">
        <v>336</v>
      </c>
      <c r="C444" s="3" t="s">
        <v>337</v>
      </c>
      <c r="D444" s="146"/>
      <c r="E444" s="146"/>
      <c r="F444" s="146">
        <v>150</v>
      </c>
      <c r="G444" s="146"/>
      <c r="H444" s="146">
        <v>150</v>
      </c>
      <c r="I444" s="146"/>
      <c r="J444" s="146"/>
      <c r="K444" s="146">
        <v>0</v>
      </c>
      <c r="L444" s="146"/>
      <c r="M444" s="146"/>
      <c r="N444" s="146">
        <v>0</v>
      </c>
    </row>
    <row r="445" spans="1:14" ht="14.45" hidden="1" x14ac:dyDescent="0.3">
      <c r="A445" s="17" t="s">
        <v>833</v>
      </c>
      <c r="B445" s="7"/>
      <c r="C445" s="208" t="s">
        <v>834</v>
      </c>
      <c r="D445" s="146"/>
      <c r="E445" s="146"/>
      <c r="F445" s="146">
        <f>F446</f>
        <v>0</v>
      </c>
      <c r="G445" s="146">
        <f t="shared" ref="G445:H445" si="38">G446</f>
        <v>0</v>
      </c>
      <c r="H445" s="146">
        <f t="shared" si="38"/>
        <v>0</v>
      </c>
      <c r="I445" s="146"/>
      <c r="J445" s="146"/>
      <c r="K445" s="146"/>
      <c r="L445" s="146"/>
      <c r="M445" s="146"/>
      <c r="N445" s="146"/>
    </row>
    <row r="446" spans="1:14" ht="27" hidden="1" x14ac:dyDescent="0.3">
      <c r="A446" s="17"/>
      <c r="B446" s="7" t="s">
        <v>336</v>
      </c>
      <c r="C446" s="3" t="s">
        <v>337</v>
      </c>
      <c r="D446" s="146"/>
      <c r="E446" s="146"/>
      <c r="F446" s="146">
        <v>0</v>
      </c>
      <c r="G446" s="146"/>
      <c r="H446" s="146"/>
      <c r="I446" s="146"/>
      <c r="J446" s="146"/>
      <c r="K446" s="146"/>
      <c r="L446" s="146"/>
      <c r="M446" s="146"/>
      <c r="N446" s="146"/>
    </row>
    <row r="447" spans="1:14" ht="26.25" customHeight="1" x14ac:dyDescent="0.25">
      <c r="A447" s="36" t="s">
        <v>373</v>
      </c>
      <c r="B447" s="39"/>
      <c r="C447" s="22" t="s">
        <v>374</v>
      </c>
      <c r="D447" s="131">
        <f>D448+D450+D451+D453+D455+D459</f>
        <v>2511</v>
      </c>
      <c r="E447" s="131"/>
      <c r="F447" s="131">
        <f>F448+F450+F451+F453+F455+F457</f>
        <v>2096.63049</v>
      </c>
      <c r="G447" s="131">
        <f>G448+G450+G451+G453+G455+G457</f>
        <v>0</v>
      </c>
      <c r="H447" s="131">
        <f>H448+H450+H451+H453+H455+H457</f>
        <v>2096.63049</v>
      </c>
      <c r="I447" s="131">
        <f>I448+I450+I451+I453+I455</f>
        <v>400</v>
      </c>
      <c r="J447" s="131"/>
      <c r="K447" s="131">
        <f>K448+K450+K451+K453+K455</f>
        <v>400</v>
      </c>
      <c r="L447" s="131">
        <f>L448+L450+L451+L453+L455+L459</f>
        <v>0</v>
      </c>
      <c r="M447" s="131"/>
      <c r="N447" s="131">
        <f>N448+N450+N451+N453+N455+N459</f>
        <v>0</v>
      </c>
    </row>
    <row r="448" spans="1:14" x14ac:dyDescent="0.25">
      <c r="A448" s="7" t="s">
        <v>375</v>
      </c>
      <c r="B448" s="66"/>
      <c r="C448" s="65" t="s">
        <v>376</v>
      </c>
      <c r="D448" s="146">
        <v>300</v>
      </c>
      <c r="E448" s="146"/>
      <c r="F448" s="146">
        <f>F449</f>
        <v>200.96449999999999</v>
      </c>
      <c r="G448" s="146">
        <f>G449</f>
        <v>0</v>
      </c>
      <c r="H448" s="146">
        <f>H449</f>
        <v>200.96449999999999</v>
      </c>
      <c r="I448" s="146">
        <v>0</v>
      </c>
      <c r="J448" s="146"/>
      <c r="K448" s="146">
        <v>0</v>
      </c>
      <c r="L448" s="146">
        <v>0</v>
      </c>
      <c r="M448" s="146"/>
      <c r="N448" s="146">
        <v>0</v>
      </c>
    </row>
    <row r="449" spans="1:14" ht="26.25" x14ac:dyDescent="0.25">
      <c r="A449" s="13"/>
      <c r="B449" s="7" t="s">
        <v>336</v>
      </c>
      <c r="C449" s="3" t="s">
        <v>337</v>
      </c>
      <c r="D449" s="146">
        <v>300</v>
      </c>
      <c r="E449" s="146"/>
      <c r="F449" s="146">
        <v>200.96449999999999</v>
      </c>
      <c r="G449" s="146"/>
      <c r="H449" s="146">
        <f>SUM(F449:G449)</f>
        <v>200.96449999999999</v>
      </c>
      <c r="I449" s="146">
        <v>0</v>
      </c>
      <c r="J449" s="146"/>
      <c r="K449" s="146">
        <v>0</v>
      </c>
      <c r="L449" s="146">
        <v>0</v>
      </c>
      <c r="M449" s="146"/>
      <c r="N449" s="146">
        <v>0</v>
      </c>
    </row>
    <row r="450" spans="1:14" x14ac:dyDescent="0.25">
      <c r="A450" s="7" t="s">
        <v>377</v>
      </c>
      <c r="B450" s="24"/>
      <c r="C450" s="65" t="s">
        <v>378</v>
      </c>
      <c r="D450" s="146">
        <v>286.2</v>
      </c>
      <c r="E450" s="146"/>
      <c r="F450" s="146">
        <v>286.2</v>
      </c>
      <c r="G450" s="146">
        <f>G452</f>
        <v>0</v>
      </c>
      <c r="H450" s="146">
        <f>H452</f>
        <v>286.2</v>
      </c>
      <c r="I450" s="146">
        <v>400</v>
      </c>
      <c r="J450" s="146"/>
      <c r="K450" s="146">
        <v>400</v>
      </c>
      <c r="L450" s="146">
        <v>0</v>
      </c>
      <c r="M450" s="146"/>
      <c r="N450" s="146">
        <v>0</v>
      </c>
    </row>
    <row r="451" spans="1:14" ht="26.25" x14ac:dyDescent="0.25">
      <c r="A451" s="7" t="s">
        <v>379</v>
      </c>
      <c r="B451" s="24"/>
      <c r="C451" s="65" t="s">
        <v>380</v>
      </c>
      <c r="D451" s="146">
        <f>50-50</f>
        <v>0</v>
      </c>
      <c r="E451" s="146"/>
      <c r="F451" s="146">
        <f>50-50</f>
        <v>0</v>
      </c>
      <c r="G451" s="146"/>
      <c r="H451" s="146">
        <f>50-50</f>
        <v>0</v>
      </c>
      <c r="I451" s="146">
        <f>52-52</f>
        <v>0</v>
      </c>
      <c r="J451" s="146"/>
      <c r="K451" s="146">
        <f>52-52</f>
        <v>0</v>
      </c>
      <c r="L451" s="146">
        <f>54-54</f>
        <v>0</v>
      </c>
      <c r="M451" s="146"/>
      <c r="N451" s="146">
        <f>54-54</f>
        <v>0</v>
      </c>
    </row>
    <row r="452" spans="1:14" ht="26.25" x14ac:dyDescent="0.25">
      <c r="A452" s="7"/>
      <c r="B452" s="7" t="s">
        <v>336</v>
      </c>
      <c r="C452" s="3" t="s">
        <v>337</v>
      </c>
      <c r="D452" s="146">
        <v>286.2</v>
      </c>
      <c r="E452" s="146"/>
      <c r="F452" s="146">
        <v>286.2</v>
      </c>
      <c r="G452" s="146"/>
      <c r="H452" s="146">
        <f>SUM(F452:G452)</f>
        <v>286.2</v>
      </c>
      <c r="I452" s="146">
        <v>400</v>
      </c>
      <c r="J452" s="146"/>
      <c r="K452" s="146">
        <v>400</v>
      </c>
      <c r="L452" s="146">
        <v>0</v>
      </c>
      <c r="M452" s="146"/>
      <c r="N452" s="146">
        <v>0</v>
      </c>
    </row>
    <row r="453" spans="1:14" ht="26.25" x14ac:dyDescent="0.25">
      <c r="A453" s="7" t="s">
        <v>381</v>
      </c>
      <c r="B453" s="24"/>
      <c r="C453" s="65" t="s">
        <v>382</v>
      </c>
      <c r="D453" s="146">
        <v>1135.7</v>
      </c>
      <c r="E453" s="146"/>
      <c r="F453" s="146">
        <f>F454</f>
        <v>898.5</v>
      </c>
      <c r="G453" s="146">
        <f>G454</f>
        <v>0</v>
      </c>
      <c r="H453" s="146">
        <f>H454</f>
        <v>898.5</v>
      </c>
      <c r="I453" s="146">
        <v>0</v>
      </c>
      <c r="J453" s="146"/>
      <c r="K453" s="146">
        <v>0</v>
      </c>
      <c r="L453" s="146">
        <v>0</v>
      </c>
      <c r="M453" s="146"/>
      <c r="N453" s="146">
        <v>0</v>
      </c>
    </row>
    <row r="454" spans="1:14" ht="26.25" x14ac:dyDescent="0.25">
      <c r="A454" s="19"/>
      <c r="B454" s="7" t="s">
        <v>336</v>
      </c>
      <c r="C454" s="3" t="s">
        <v>337</v>
      </c>
      <c r="D454" s="146">
        <v>1135.7</v>
      </c>
      <c r="E454" s="146"/>
      <c r="F454" s="146">
        <v>898.5</v>
      </c>
      <c r="G454" s="130"/>
      <c r="H454" s="146">
        <f>SUM(F454:G454)</f>
        <v>898.5</v>
      </c>
      <c r="I454" s="146">
        <v>0</v>
      </c>
      <c r="J454" s="146"/>
      <c r="K454" s="146">
        <v>0</v>
      </c>
      <c r="L454" s="146">
        <v>0</v>
      </c>
      <c r="M454" s="146"/>
      <c r="N454" s="146">
        <v>0</v>
      </c>
    </row>
    <row r="455" spans="1:14" ht="25.5" x14ac:dyDescent="0.25">
      <c r="A455" s="17" t="s">
        <v>586</v>
      </c>
      <c r="B455" s="19"/>
      <c r="C455" s="1" t="s">
        <v>383</v>
      </c>
      <c r="D455" s="146">
        <v>681.3</v>
      </c>
      <c r="E455" s="146"/>
      <c r="F455" s="146">
        <v>681.3</v>
      </c>
      <c r="G455" s="146"/>
      <c r="H455" s="146">
        <v>681.3</v>
      </c>
      <c r="I455" s="146">
        <v>0</v>
      </c>
      <c r="J455" s="146"/>
      <c r="K455" s="146">
        <v>0</v>
      </c>
      <c r="L455" s="146">
        <v>0</v>
      </c>
      <c r="M455" s="146"/>
      <c r="N455" s="146">
        <v>0</v>
      </c>
    </row>
    <row r="456" spans="1:14" ht="26.25" x14ac:dyDescent="0.25">
      <c r="A456" s="17"/>
      <c r="B456" s="7" t="s">
        <v>336</v>
      </c>
      <c r="C456" s="3" t="s">
        <v>337</v>
      </c>
      <c r="D456" s="146">
        <v>681.3</v>
      </c>
      <c r="E456" s="146"/>
      <c r="F456" s="146">
        <v>681.3</v>
      </c>
      <c r="G456" s="146"/>
      <c r="H456" s="146">
        <v>681.3</v>
      </c>
      <c r="I456" s="146">
        <v>0</v>
      </c>
      <c r="J456" s="146"/>
      <c r="K456" s="146">
        <v>0</v>
      </c>
      <c r="L456" s="146">
        <v>0</v>
      </c>
      <c r="M456" s="146"/>
      <c r="N456" s="146">
        <v>0</v>
      </c>
    </row>
    <row r="457" spans="1:14" x14ac:dyDescent="0.25">
      <c r="A457" s="17" t="s">
        <v>820</v>
      </c>
      <c r="B457" s="7"/>
      <c r="C457" s="3" t="s">
        <v>821</v>
      </c>
      <c r="D457" s="146"/>
      <c r="E457" s="146"/>
      <c r="F457" s="146">
        <v>29.665990000000001</v>
      </c>
      <c r="G457" s="146"/>
      <c r="H457" s="146">
        <v>29.665990000000001</v>
      </c>
      <c r="I457" s="146"/>
      <c r="J457" s="146"/>
      <c r="K457" s="146">
        <v>0</v>
      </c>
      <c r="L457" s="146"/>
      <c r="M457" s="146"/>
      <c r="N457" s="146">
        <v>0</v>
      </c>
    </row>
    <row r="458" spans="1:14" ht="26.25" x14ac:dyDescent="0.25">
      <c r="A458" s="17"/>
      <c r="B458" s="7" t="s">
        <v>336</v>
      </c>
      <c r="C458" s="3" t="s">
        <v>337</v>
      </c>
      <c r="D458" s="146"/>
      <c r="E458" s="146"/>
      <c r="F458" s="146">
        <v>29.665990000000001</v>
      </c>
      <c r="G458" s="146"/>
      <c r="H458" s="146">
        <v>29.665990000000001</v>
      </c>
      <c r="I458" s="146"/>
      <c r="J458" s="146"/>
      <c r="K458" s="146">
        <v>0</v>
      </c>
      <c r="L458" s="146"/>
      <c r="M458" s="146"/>
      <c r="N458" s="146">
        <v>0</v>
      </c>
    </row>
    <row r="459" spans="1:14" ht="39" x14ac:dyDescent="0.25">
      <c r="A459" s="36" t="s">
        <v>384</v>
      </c>
      <c r="B459" s="39"/>
      <c r="C459" s="22" t="s">
        <v>610</v>
      </c>
      <c r="D459" s="131">
        <f>D460</f>
        <v>107.8</v>
      </c>
      <c r="E459" s="131"/>
      <c r="F459" s="131">
        <f>F460</f>
        <v>107.8</v>
      </c>
      <c r="G459" s="131"/>
      <c r="H459" s="131">
        <f>H460</f>
        <v>107.8</v>
      </c>
      <c r="I459" s="131">
        <f>I460</f>
        <v>107.4</v>
      </c>
      <c r="J459" s="131"/>
      <c r="K459" s="131">
        <f>K460</f>
        <v>107.4</v>
      </c>
      <c r="L459" s="131">
        <f>L460</f>
        <v>0</v>
      </c>
      <c r="M459" s="131"/>
      <c r="N459" s="131">
        <f>N460</f>
        <v>0</v>
      </c>
    </row>
    <row r="460" spans="1:14" ht="38.25" x14ac:dyDescent="0.25">
      <c r="A460" s="17" t="s">
        <v>587</v>
      </c>
      <c r="B460" s="17"/>
      <c r="C460" s="1" t="s">
        <v>588</v>
      </c>
      <c r="D460" s="146">
        <f>D462</f>
        <v>107.8</v>
      </c>
      <c r="E460" s="146"/>
      <c r="F460" s="146">
        <f>F462</f>
        <v>107.8</v>
      </c>
      <c r="G460" s="146"/>
      <c r="H460" s="146">
        <f>H462</f>
        <v>107.8</v>
      </c>
      <c r="I460" s="146">
        <f>I462</f>
        <v>107.4</v>
      </c>
      <c r="J460" s="146"/>
      <c r="K460" s="146">
        <f>K462</f>
        <v>107.4</v>
      </c>
      <c r="L460" s="146">
        <f>L462</f>
        <v>0</v>
      </c>
      <c r="M460" s="146"/>
      <c r="N460" s="146">
        <f>N462</f>
        <v>0</v>
      </c>
    </row>
    <row r="461" spans="1:14" ht="26.25" x14ac:dyDescent="0.25">
      <c r="A461" s="17"/>
      <c r="B461" s="7" t="s">
        <v>336</v>
      </c>
      <c r="C461" s="3" t="s">
        <v>337</v>
      </c>
      <c r="D461" s="146">
        <v>107.8</v>
      </c>
      <c r="E461" s="146"/>
      <c r="F461" s="146">
        <v>107.8</v>
      </c>
      <c r="G461" s="146"/>
      <c r="H461" s="146">
        <v>107.8</v>
      </c>
      <c r="I461" s="146">
        <v>107.4</v>
      </c>
      <c r="J461" s="146"/>
      <c r="K461" s="146">
        <v>107.4</v>
      </c>
      <c r="L461" s="146">
        <v>0</v>
      </c>
      <c r="M461" s="146"/>
      <c r="N461" s="146">
        <v>0</v>
      </c>
    </row>
    <row r="462" spans="1:14" x14ac:dyDescent="0.25">
      <c r="A462" s="13"/>
      <c r="B462" s="24"/>
      <c r="C462" s="10" t="s">
        <v>120</v>
      </c>
      <c r="D462" s="130">
        <v>107.8</v>
      </c>
      <c r="E462" s="130"/>
      <c r="F462" s="130">
        <v>107.8</v>
      </c>
      <c r="G462" s="130"/>
      <c r="H462" s="130">
        <v>107.8</v>
      </c>
      <c r="I462" s="130">
        <v>107.4</v>
      </c>
      <c r="J462" s="130"/>
      <c r="K462" s="130">
        <v>107.4</v>
      </c>
      <c r="L462" s="130">
        <v>0</v>
      </c>
      <c r="M462" s="130"/>
      <c r="N462" s="130">
        <v>0</v>
      </c>
    </row>
    <row r="463" spans="1:14" ht="26.25" x14ac:dyDescent="0.25">
      <c r="A463" s="34" t="s">
        <v>385</v>
      </c>
      <c r="B463" s="34"/>
      <c r="C463" s="60" t="s">
        <v>386</v>
      </c>
      <c r="D463" s="139" t="e">
        <f t="shared" ref="D463:N463" si="39">D464+D473+D493+D488</f>
        <v>#REF!</v>
      </c>
      <c r="E463" s="139" t="e">
        <f t="shared" si="39"/>
        <v>#REF!</v>
      </c>
      <c r="F463" s="139">
        <f t="shared" si="39"/>
        <v>22061.389219999997</v>
      </c>
      <c r="G463" s="139">
        <f t="shared" si="39"/>
        <v>181.20000000000002</v>
      </c>
      <c r="H463" s="139">
        <f t="shared" si="39"/>
        <v>22242.589219999998</v>
      </c>
      <c r="I463" s="139">
        <f t="shared" si="39"/>
        <v>22732.5</v>
      </c>
      <c r="J463" s="139">
        <f t="shared" si="39"/>
        <v>0</v>
      </c>
      <c r="K463" s="139">
        <f t="shared" si="39"/>
        <v>22732.5</v>
      </c>
      <c r="L463" s="139">
        <f t="shared" si="39"/>
        <v>20473.699999999997</v>
      </c>
      <c r="M463" s="139">
        <f t="shared" si="39"/>
        <v>0</v>
      </c>
      <c r="N463" s="139">
        <f t="shared" si="39"/>
        <v>20473.699999999997</v>
      </c>
    </row>
    <row r="464" spans="1:14" ht="39" x14ac:dyDescent="0.25">
      <c r="A464" s="36" t="s">
        <v>387</v>
      </c>
      <c r="B464" s="36"/>
      <c r="C464" s="22" t="s">
        <v>388</v>
      </c>
      <c r="D464" s="131">
        <f>D465+D469+D471</f>
        <v>4201.2</v>
      </c>
      <c r="E464" s="131"/>
      <c r="F464" s="131">
        <f>F465+F469+F471</f>
        <v>3510.86951</v>
      </c>
      <c r="G464" s="131">
        <f t="shared" ref="G464:L464" si="40">G465+G469+G471</f>
        <v>133.30000000000001</v>
      </c>
      <c r="H464" s="131">
        <f t="shared" si="40"/>
        <v>3644.1695100000002</v>
      </c>
      <c r="I464" s="131">
        <f t="shared" si="40"/>
        <v>6198.7</v>
      </c>
      <c r="J464" s="131">
        <f t="shared" si="40"/>
        <v>0</v>
      </c>
      <c r="K464" s="131">
        <f t="shared" si="40"/>
        <v>6198.7</v>
      </c>
      <c r="L464" s="131">
        <f t="shared" si="40"/>
        <v>3409.1</v>
      </c>
      <c r="M464" s="131"/>
      <c r="N464" s="131">
        <f>N465+N469+N471</f>
        <v>3409.1</v>
      </c>
    </row>
    <row r="465" spans="1:16" ht="26.25" x14ac:dyDescent="0.25">
      <c r="A465" s="7" t="s">
        <v>389</v>
      </c>
      <c r="B465" s="7"/>
      <c r="C465" s="65" t="s">
        <v>390</v>
      </c>
      <c r="D465" s="146">
        <v>3091.9</v>
      </c>
      <c r="E465" s="146"/>
      <c r="F465" s="146">
        <f>F466</f>
        <v>2776.7</v>
      </c>
      <c r="G465" s="130">
        <f>G466+G468</f>
        <v>133.30000000000001</v>
      </c>
      <c r="H465" s="146">
        <f>H466+H468</f>
        <v>2910</v>
      </c>
      <c r="I465" s="146">
        <f>I466+I467</f>
        <v>6136.3</v>
      </c>
      <c r="J465" s="146">
        <f>J466+J467</f>
        <v>0</v>
      </c>
      <c r="K465" s="146">
        <f>K466+K467</f>
        <v>6136.3</v>
      </c>
      <c r="L465" s="146">
        <v>3344.2</v>
      </c>
      <c r="M465" s="146"/>
      <c r="N465" s="146">
        <v>3344.2</v>
      </c>
      <c r="O465" s="45"/>
      <c r="P465" s="45"/>
    </row>
    <row r="466" spans="1:16" ht="26.25" x14ac:dyDescent="0.25">
      <c r="A466" s="13"/>
      <c r="B466" s="7" t="s">
        <v>336</v>
      </c>
      <c r="C466" s="3" t="s">
        <v>337</v>
      </c>
      <c r="D466" s="146">
        <v>3091.9</v>
      </c>
      <c r="E466" s="146"/>
      <c r="F466" s="146">
        <v>2776.7</v>
      </c>
      <c r="G466" s="130">
        <f>-23.9+13.9</f>
        <v>-9.9999999999999982</v>
      </c>
      <c r="H466" s="146">
        <f>F466+G466</f>
        <v>2766.7</v>
      </c>
      <c r="I466" s="146">
        <v>1043.8000000000002</v>
      </c>
      <c r="J466" s="146"/>
      <c r="K466" s="146">
        <f>SUM(I466:J466)</f>
        <v>1043.8000000000002</v>
      </c>
      <c r="L466" s="146">
        <v>3344.2</v>
      </c>
      <c r="M466" s="146"/>
      <c r="N466" s="146">
        <v>3344.2</v>
      </c>
    </row>
    <row r="467" spans="1:16" ht="26.25" x14ac:dyDescent="0.25">
      <c r="A467" s="7"/>
      <c r="B467" s="24" t="s">
        <v>362</v>
      </c>
      <c r="C467" s="3" t="s">
        <v>363</v>
      </c>
      <c r="D467" s="130"/>
      <c r="E467" s="146"/>
      <c r="F467" s="130">
        <v>0</v>
      </c>
      <c r="G467" s="130"/>
      <c r="H467" s="130">
        <v>0</v>
      </c>
      <c r="I467" s="130">
        <v>5092.5</v>
      </c>
      <c r="J467" s="130"/>
      <c r="K467" s="130">
        <v>5092.5</v>
      </c>
      <c r="L467" s="130">
        <v>0</v>
      </c>
      <c r="M467" s="130"/>
      <c r="N467" s="130">
        <v>0</v>
      </c>
    </row>
    <row r="468" spans="1:16" ht="26.25" x14ac:dyDescent="0.25">
      <c r="A468" s="7"/>
      <c r="B468" s="24" t="s">
        <v>608</v>
      </c>
      <c r="C468" s="3" t="s">
        <v>609</v>
      </c>
      <c r="D468" s="130"/>
      <c r="E468" s="146"/>
      <c r="F468" s="130"/>
      <c r="G468" s="130">
        <v>143.30000000000001</v>
      </c>
      <c r="H468" s="130">
        <f>SUM(G468)</f>
        <v>143.30000000000001</v>
      </c>
      <c r="I468" s="130"/>
      <c r="J468" s="130"/>
      <c r="K468" s="130">
        <v>0</v>
      </c>
      <c r="L468" s="130"/>
      <c r="M468" s="130"/>
      <c r="N468" s="130">
        <v>0</v>
      </c>
    </row>
    <row r="469" spans="1:16" ht="26.25" x14ac:dyDescent="0.25">
      <c r="A469" s="7" t="s">
        <v>391</v>
      </c>
      <c r="B469" s="7"/>
      <c r="C469" s="20" t="s">
        <v>392</v>
      </c>
      <c r="D469" s="130">
        <v>564.79999999999995</v>
      </c>
      <c r="E469" s="130"/>
      <c r="F469" s="130">
        <v>564.79999999999995</v>
      </c>
      <c r="G469" s="130"/>
      <c r="H469" s="130">
        <v>564.79999999999995</v>
      </c>
      <c r="I469" s="130">
        <v>0</v>
      </c>
      <c r="J469" s="130"/>
      <c r="K469" s="130">
        <v>0</v>
      </c>
      <c r="L469" s="130">
        <v>0</v>
      </c>
      <c r="M469" s="130"/>
      <c r="N469" s="130">
        <v>0</v>
      </c>
    </row>
    <row r="470" spans="1:16" ht="26.25" x14ac:dyDescent="0.25">
      <c r="A470" s="13"/>
      <c r="B470" s="7" t="s">
        <v>336</v>
      </c>
      <c r="C470" s="3" t="s">
        <v>337</v>
      </c>
      <c r="D470" s="130">
        <v>564.79999999999995</v>
      </c>
      <c r="E470" s="130"/>
      <c r="F470" s="130">
        <v>564.79999999999995</v>
      </c>
      <c r="G470" s="130"/>
      <c r="H470" s="130">
        <v>564.79999999999995</v>
      </c>
      <c r="I470" s="130">
        <v>0</v>
      </c>
      <c r="J470" s="130"/>
      <c r="K470" s="130">
        <v>0</v>
      </c>
      <c r="L470" s="130">
        <v>0</v>
      </c>
      <c r="M470" s="130"/>
      <c r="N470" s="130">
        <v>0</v>
      </c>
    </row>
    <row r="471" spans="1:16" ht="39" x14ac:dyDescent="0.25">
      <c r="A471" s="7" t="s">
        <v>589</v>
      </c>
      <c r="B471" s="7"/>
      <c r="C471" s="3" t="s">
        <v>393</v>
      </c>
      <c r="D471" s="130">
        <v>544.5</v>
      </c>
      <c r="E471" s="130"/>
      <c r="F471" s="130">
        <f>F472</f>
        <v>169.36950999999999</v>
      </c>
      <c r="G471" s="130"/>
      <c r="H471" s="130">
        <f>SUM(F471:G471)</f>
        <v>169.36950999999999</v>
      </c>
      <c r="I471" s="130">
        <v>62.4</v>
      </c>
      <c r="J471" s="130"/>
      <c r="K471" s="130">
        <v>62.4</v>
      </c>
      <c r="L471" s="130">
        <v>64.900000000000006</v>
      </c>
      <c r="M471" s="130"/>
      <c r="N471" s="130">
        <v>64.900000000000006</v>
      </c>
    </row>
    <row r="472" spans="1:16" ht="26.25" x14ac:dyDescent="0.25">
      <c r="A472" s="7"/>
      <c r="B472" s="7" t="s">
        <v>336</v>
      </c>
      <c r="C472" s="3" t="s">
        <v>337</v>
      </c>
      <c r="D472" s="130">
        <v>544.5</v>
      </c>
      <c r="E472" s="130"/>
      <c r="F472" s="130">
        <v>169.36950999999999</v>
      </c>
      <c r="G472" s="146"/>
      <c r="H472" s="130">
        <f>SUM(F472:G472)</f>
        <v>169.36950999999999</v>
      </c>
      <c r="I472" s="130">
        <v>62.4</v>
      </c>
      <c r="J472" s="130"/>
      <c r="K472" s="130">
        <f>SUM(I472:J472)</f>
        <v>62.4</v>
      </c>
      <c r="L472" s="130">
        <v>64.900000000000006</v>
      </c>
      <c r="M472" s="130"/>
      <c r="N472" s="130">
        <v>64.900000000000006</v>
      </c>
    </row>
    <row r="473" spans="1:16" ht="26.25" x14ac:dyDescent="0.25">
      <c r="A473" s="36" t="s">
        <v>394</v>
      </c>
      <c r="B473" s="36"/>
      <c r="C473" s="22" t="s">
        <v>395</v>
      </c>
      <c r="D473" s="131" t="e">
        <f>D474+#REF!+D480+D481+D476+D482+D484+D486</f>
        <v>#REF!</v>
      </c>
      <c r="E473" s="131" t="e">
        <f>E474+#REF!+E480+E481+E476+E482+E484+E486</f>
        <v>#REF!</v>
      </c>
      <c r="F473" s="131">
        <f>F474+F480+F481+F476+F482+F484+F486</f>
        <v>727.51971000000003</v>
      </c>
      <c r="G473" s="131">
        <f>G474</f>
        <v>47.9</v>
      </c>
      <c r="H473" s="131">
        <f>H474+H480+H481+H476+H482+H484+H486</f>
        <v>775.41971000000012</v>
      </c>
      <c r="I473" s="131">
        <f>I474+I480+I481+I476+I482+I484+I486</f>
        <v>0</v>
      </c>
      <c r="J473" s="131">
        <f>J474+J480+J481+J476+J482+J484+J486</f>
        <v>0</v>
      </c>
      <c r="K473" s="131">
        <f>K474+K480+K481+K476+K482+K484+K486</f>
        <v>0</v>
      </c>
      <c r="L473" s="131">
        <f>L474+L480+L481+L476+L482+L484+L486</f>
        <v>530.79999999999995</v>
      </c>
      <c r="M473" s="131"/>
      <c r="N473" s="131">
        <f>N474+N480+N481+N476+N482+N484+N486</f>
        <v>530.79999999999995</v>
      </c>
    </row>
    <row r="474" spans="1:16" ht="25.5" x14ac:dyDescent="0.25">
      <c r="A474" s="7" t="s">
        <v>396</v>
      </c>
      <c r="B474" s="17"/>
      <c r="C474" s="1" t="s">
        <v>397</v>
      </c>
      <c r="D474" s="130">
        <f>D475</f>
        <v>490.8</v>
      </c>
      <c r="E474" s="130"/>
      <c r="F474" s="130">
        <f>F475</f>
        <v>490.8</v>
      </c>
      <c r="G474" s="130">
        <f>G475</f>
        <v>47.9</v>
      </c>
      <c r="H474" s="130">
        <f>H475</f>
        <v>538.70000000000005</v>
      </c>
      <c r="I474" s="130">
        <f>I475</f>
        <v>0</v>
      </c>
      <c r="J474" s="130">
        <f>J475</f>
        <v>0</v>
      </c>
      <c r="K474" s="130">
        <f>K475</f>
        <v>0</v>
      </c>
      <c r="L474" s="130">
        <f>L475</f>
        <v>530.79999999999995</v>
      </c>
      <c r="M474" s="130"/>
      <c r="N474" s="130">
        <f>N475</f>
        <v>530.79999999999995</v>
      </c>
    </row>
    <row r="475" spans="1:16" ht="26.25" x14ac:dyDescent="0.25">
      <c r="A475" s="7"/>
      <c r="B475" s="7" t="s">
        <v>336</v>
      </c>
      <c r="C475" s="3" t="s">
        <v>337</v>
      </c>
      <c r="D475" s="130">
        <v>490.8</v>
      </c>
      <c r="E475" s="130"/>
      <c r="F475" s="130">
        <v>490.8</v>
      </c>
      <c r="G475" s="130">
        <v>47.9</v>
      </c>
      <c r="H475" s="130">
        <v>538.70000000000005</v>
      </c>
      <c r="I475" s="146">
        <v>0</v>
      </c>
      <c r="J475" s="130"/>
      <c r="K475" s="130">
        <v>0</v>
      </c>
      <c r="L475" s="130">
        <v>530.79999999999995</v>
      </c>
      <c r="M475" s="130"/>
      <c r="N475" s="130">
        <v>530.79999999999995</v>
      </c>
    </row>
    <row r="476" spans="1:16" ht="51.75" x14ac:dyDescent="0.25">
      <c r="A476" s="7" t="s">
        <v>398</v>
      </c>
      <c r="B476" s="17"/>
      <c r="C476" s="20" t="s">
        <v>399</v>
      </c>
      <c r="D476" s="130">
        <v>0</v>
      </c>
      <c r="E476" s="146">
        <v>0.11971</v>
      </c>
      <c r="F476" s="130">
        <v>0.11971</v>
      </c>
      <c r="G476" s="130"/>
      <c r="H476" s="130">
        <v>0.11971</v>
      </c>
      <c r="I476" s="130">
        <v>0</v>
      </c>
      <c r="J476" s="130"/>
      <c r="K476" s="130">
        <v>0</v>
      </c>
      <c r="L476" s="130">
        <v>0</v>
      </c>
      <c r="M476" s="130"/>
      <c r="N476" s="130">
        <v>0</v>
      </c>
    </row>
    <row r="477" spans="1:16" ht="26.25" x14ac:dyDescent="0.25">
      <c r="A477" s="7"/>
      <c r="B477" s="24" t="s">
        <v>362</v>
      </c>
      <c r="C477" s="3" t="s">
        <v>363</v>
      </c>
      <c r="D477" s="130"/>
      <c r="E477" s="146"/>
      <c r="F477" s="130">
        <f>F478+F479</f>
        <v>0.11971</v>
      </c>
      <c r="G477" s="130"/>
      <c r="H477" s="130">
        <f>H478+H479</f>
        <v>0.11971</v>
      </c>
      <c r="I477" s="130">
        <v>0</v>
      </c>
      <c r="J477" s="130"/>
      <c r="K477" s="130">
        <v>0</v>
      </c>
      <c r="L477" s="130">
        <v>0</v>
      </c>
      <c r="M477" s="130"/>
      <c r="N477" s="130">
        <v>0</v>
      </c>
    </row>
    <row r="478" spans="1:16" x14ac:dyDescent="0.25">
      <c r="A478" s="7"/>
      <c r="B478" s="4"/>
      <c r="C478" s="3" t="s">
        <v>183</v>
      </c>
      <c r="D478" s="130"/>
      <c r="E478" s="146"/>
      <c r="F478" s="130">
        <v>0</v>
      </c>
      <c r="G478" s="130"/>
      <c r="H478" s="130">
        <v>0</v>
      </c>
      <c r="I478" s="130">
        <v>0</v>
      </c>
      <c r="J478" s="130"/>
      <c r="K478" s="130">
        <v>0</v>
      </c>
      <c r="L478" s="130">
        <v>0</v>
      </c>
      <c r="M478" s="130"/>
      <c r="N478" s="130">
        <v>0</v>
      </c>
    </row>
    <row r="479" spans="1:16" x14ac:dyDescent="0.25">
      <c r="A479" s="7"/>
      <c r="B479" s="4"/>
      <c r="C479" s="20" t="s">
        <v>120</v>
      </c>
      <c r="D479" s="130"/>
      <c r="E479" s="146">
        <v>0.11971</v>
      </c>
      <c r="F479" s="130">
        <v>0.11971</v>
      </c>
      <c r="G479" s="130"/>
      <c r="H479" s="130">
        <v>0.11971</v>
      </c>
      <c r="I479" s="130">
        <v>0</v>
      </c>
      <c r="J479" s="130"/>
      <c r="K479" s="130">
        <v>0</v>
      </c>
      <c r="L479" s="130">
        <v>0</v>
      </c>
      <c r="M479" s="130"/>
      <c r="N479" s="130">
        <v>0</v>
      </c>
    </row>
    <row r="480" spans="1:16" ht="38.25" x14ac:dyDescent="0.25">
      <c r="A480" s="7" t="s">
        <v>400</v>
      </c>
      <c r="B480" s="17"/>
      <c r="C480" s="1" t="s">
        <v>401</v>
      </c>
      <c r="D480" s="130">
        <v>0</v>
      </c>
      <c r="E480" s="130"/>
      <c r="F480" s="130">
        <v>0</v>
      </c>
      <c r="G480" s="130"/>
      <c r="H480" s="130">
        <v>0</v>
      </c>
      <c r="I480" s="130">
        <v>0</v>
      </c>
      <c r="J480" s="130"/>
      <c r="K480" s="130">
        <v>0</v>
      </c>
      <c r="L480" s="130">
        <v>0</v>
      </c>
      <c r="M480" s="130"/>
      <c r="N480" s="130">
        <v>0</v>
      </c>
    </row>
    <row r="481" spans="1:14" ht="25.5" x14ac:dyDescent="0.25">
      <c r="A481" s="7" t="s">
        <v>402</v>
      </c>
      <c r="B481" s="17"/>
      <c r="C481" s="1" t="s">
        <v>403</v>
      </c>
      <c r="D481" s="130">
        <v>0</v>
      </c>
      <c r="E481" s="130"/>
      <c r="F481" s="130">
        <v>0</v>
      </c>
      <c r="G481" s="130"/>
      <c r="H481" s="130">
        <v>0</v>
      </c>
      <c r="I481" s="130">
        <v>0</v>
      </c>
      <c r="J481" s="130"/>
      <c r="K481" s="130">
        <v>0</v>
      </c>
      <c r="L481" s="130">
        <v>0</v>
      </c>
      <c r="M481" s="130"/>
      <c r="N481" s="130">
        <v>0</v>
      </c>
    </row>
    <row r="482" spans="1:14" x14ac:dyDescent="0.25">
      <c r="A482" s="7" t="s">
        <v>590</v>
      </c>
      <c r="B482" s="4"/>
      <c r="C482" s="20" t="s">
        <v>404</v>
      </c>
      <c r="D482" s="130">
        <v>0</v>
      </c>
      <c r="E482" s="130"/>
      <c r="F482" s="130">
        <v>0</v>
      </c>
      <c r="G482" s="130"/>
      <c r="H482" s="130">
        <v>0</v>
      </c>
      <c r="I482" s="130">
        <f>I483</f>
        <v>0</v>
      </c>
      <c r="J482" s="130"/>
      <c r="K482" s="130">
        <f>K483</f>
        <v>0</v>
      </c>
      <c r="L482" s="130">
        <v>0</v>
      </c>
      <c r="M482" s="130"/>
      <c r="N482" s="130">
        <v>0</v>
      </c>
    </row>
    <row r="483" spans="1:14" ht="26.25" x14ac:dyDescent="0.25">
      <c r="A483" s="7"/>
      <c r="B483" s="7" t="s">
        <v>336</v>
      </c>
      <c r="C483" s="3" t="s">
        <v>337</v>
      </c>
      <c r="D483" s="130">
        <v>0</v>
      </c>
      <c r="E483" s="130"/>
      <c r="F483" s="130">
        <v>0</v>
      </c>
      <c r="G483" s="130"/>
      <c r="H483" s="130">
        <v>0</v>
      </c>
      <c r="I483" s="146">
        <v>0</v>
      </c>
      <c r="J483" s="146"/>
      <c r="K483" s="146">
        <v>0</v>
      </c>
      <c r="L483" s="130">
        <v>0</v>
      </c>
      <c r="M483" s="130"/>
      <c r="N483" s="130">
        <v>0</v>
      </c>
    </row>
    <row r="484" spans="1:14" x14ac:dyDescent="0.25">
      <c r="A484" s="7" t="s">
        <v>591</v>
      </c>
      <c r="B484" s="4"/>
      <c r="C484" s="20" t="s">
        <v>405</v>
      </c>
      <c r="D484" s="130">
        <v>0</v>
      </c>
      <c r="E484" s="130"/>
      <c r="F484" s="130">
        <v>0</v>
      </c>
      <c r="G484" s="130"/>
      <c r="H484" s="130">
        <v>0</v>
      </c>
      <c r="I484" s="130">
        <f>I485</f>
        <v>0</v>
      </c>
      <c r="J484" s="130"/>
      <c r="K484" s="130">
        <v>0</v>
      </c>
      <c r="L484" s="130">
        <v>0</v>
      </c>
      <c r="M484" s="130"/>
      <c r="N484" s="130">
        <v>0</v>
      </c>
    </row>
    <row r="485" spans="1:14" ht="26.25" x14ac:dyDescent="0.25">
      <c r="A485" s="7"/>
      <c r="B485" s="7" t="s">
        <v>336</v>
      </c>
      <c r="C485" s="3" t="s">
        <v>337</v>
      </c>
      <c r="D485" s="130">
        <v>0</v>
      </c>
      <c r="E485" s="130"/>
      <c r="F485" s="130">
        <v>0</v>
      </c>
      <c r="G485" s="130"/>
      <c r="H485" s="130">
        <v>0</v>
      </c>
      <c r="I485" s="130">
        <v>0</v>
      </c>
      <c r="J485" s="130"/>
      <c r="K485" s="130">
        <v>0</v>
      </c>
      <c r="L485" s="130">
        <v>0</v>
      </c>
      <c r="M485" s="130"/>
      <c r="N485" s="130">
        <v>0</v>
      </c>
    </row>
    <row r="486" spans="1:14" x14ac:dyDescent="0.25">
      <c r="A486" s="7" t="s">
        <v>592</v>
      </c>
      <c r="B486" s="4"/>
      <c r="C486" s="10" t="s">
        <v>830</v>
      </c>
      <c r="D486" s="130">
        <v>0</v>
      </c>
      <c r="E486" s="130"/>
      <c r="F486" s="130">
        <v>236.6</v>
      </c>
      <c r="G486" s="130"/>
      <c r="H486" s="130">
        <f>H487</f>
        <v>236.6</v>
      </c>
      <c r="I486" s="130">
        <v>0</v>
      </c>
      <c r="J486" s="130"/>
      <c r="K486" s="130">
        <v>0</v>
      </c>
      <c r="L486" s="130">
        <v>0</v>
      </c>
      <c r="M486" s="130"/>
      <c r="N486" s="130">
        <v>0</v>
      </c>
    </row>
    <row r="487" spans="1:14" ht="26.25" x14ac:dyDescent="0.25">
      <c r="A487" s="7"/>
      <c r="B487" s="7" t="s">
        <v>336</v>
      </c>
      <c r="C487" s="3" t="s">
        <v>337</v>
      </c>
      <c r="D487" s="130">
        <v>0</v>
      </c>
      <c r="E487" s="130"/>
      <c r="F487" s="130">
        <v>236.6</v>
      </c>
      <c r="G487" s="130"/>
      <c r="H487" s="130">
        <v>236.6</v>
      </c>
      <c r="I487" s="130">
        <v>0</v>
      </c>
      <c r="J487" s="130"/>
      <c r="K487" s="130">
        <v>0</v>
      </c>
      <c r="L487" s="130">
        <v>0</v>
      </c>
      <c r="M487" s="130"/>
      <c r="N487" s="130">
        <v>0</v>
      </c>
    </row>
    <row r="488" spans="1:14" ht="25.5" x14ac:dyDescent="0.25">
      <c r="A488" s="15" t="s">
        <v>406</v>
      </c>
      <c r="B488" s="15"/>
      <c r="C488" s="21" t="s">
        <v>407</v>
      </c>
      <c r="D488" s="131">
        <f>D491</f>
        <v>2265.8000000000002</v>
      </c>
      <c r="E488" s="131"/>
      <c r="F488" s="131">
        <f>F491+F489</f>
        <v>1454.1</v>
      </c>
      <c r="G488" s="131">
        <f>G489+G491</f>
        <v>0</v>
      </c>
      <c r="H488" s="131">
        <f>H489+H491</f>
        <v>1454.1</v>
      </c>
      <c r="I488" s="131">
        <f>I491</f>
        <v>0</v>
      </c>
      <c r="J488" s="131"/>
      <c r="K488" s="131">
        <f>K491</f>
        <v>0</v>
      </c>
      <c r="L488" s="131">
        <f>L491</f>
        <v>0</v>
      </c>
      <c r="M488" s="131"/>
      <c r="N488" s="131">
        <f>N491</f>
        <v>0</v>
      </c>
    </row>
    <row r="489" spans="1:14" ht="26.25" x14ac:dyDescent="0.25">
      <c r="A489" s="7" t="s">
        <v>817</v>
      </c>
      <c r="B489" s="4"/>
      <c r="C489" s="20" t="s">
        <v>816</v>
      </c>
      <c r="D489" s="130">
        <v>2265.8000000000002</v>
      </c>
      <c r="E489" s="130"/>
      <c r="F489" s="130">
        <f>F490</f>
        <v>348.1</v>
      </c>
      <c r="G489" s="130">
        <f>G490</f>
        <v>0</v>
      </c>
      <c r="H489" s="130">
        <f>SUM(H490)</f>
        <v>348.1</v>
      </c>
      <c r="I489" s="130">
        <v>0</v>
      </c>
      <c r="J489" s="130"/>
      <c r="K489" s="130">
        <v>0</v>
      </c>
      <c r="L489" s="130">
        <v>0</v>
      </c>
      <c r="M489" s="130"/>
      <c r="N489" s="130">
        <v>0</v>
      </c>
    </row>
    <row r="490" spans="1:14" ht="25.5" x14ac:dyDescent="0.25">
      <c r="A490" s="7"/>
      <c r="B490" s="7" t="s">
        <v>608</v>
      </c>
      <c r="C490" s="1" t="s">
        <v>609</v>
      </c>
      <c r="D490" s="130">
        <v>2265.8000000000002</v>
      </c>
      <c r="E490" s="130"/>
      <c r="F490" s="130">
        <v>348.1</v>
      </c>
      <c r="G490" s="130"/>
      <c r="H490" s="130">
        <f>SUM(F490:G490)</f>
        <v>348.1</v>
      </c>
      <c r="I490" s="130">
        <v>0</v>
      </c>
      <c r="J490" s="130"/>
      <c r="K490" s="130">
        <v>0</v>
      </c>
      <c r="L490" s="130">
        <v>0</v>
      </c>
      <c r="M490" s="130"/>
      <c r="N490" s="130">
        <v>0</v>
      </c>
    </row>
    <row r="491" spans="1:14" ht="39" x14ac:dyDescent="0.25">
      <c r="A491" s="7" t="s">
        <v>593</v>
      </c>
      <c r="B491" s="4"/>
      <c r="C491" s="20" t="s">
        <v>180</v>
      </c>
      <c r="D491" s="130">
        <v>2265.8000000000002</v>
      </c>
      <c r="E491" s="130"/>
      <c r="F491" s="130">
        <f>F492</f>
        <v>1106</v>
      </c>
      <c r="G491" s="130"/>
      <c r="H491" s="130">
        <f>SUM(H492)</f>
        <v>1106</v>
      </c>
      <c r="I491" s="130">
        <v>0</v>
      </c>
      <c r="J491" s="130"/>
      <c r="K491" s="130">
        <v>0</v>
      </c>
      <c r="L491" s="130">
        <v>0</v>
      </c>
      <c r="M491" s="130"/>
      <c r="N491" s="130">
        <v>0</v>
      </c>
    </row>
    <row r="492" spans="1:14" ht="26.25" x14ac:dyDescent="0.25">
      <c r="A492" s="7"/>
      <c r="B492" s="7" t="s">
        <v>336</v>
      </c>
      <c r="C492" s="3" t="s">
        <v>337</v>
      </c>
      <c r="D492" s="130">
        <v>2265.8000000000002</v>
      </c>
      <c r="E492" s="130"/>
      <c r="F492" s="130">
        <v>1106</v>
      </c>
      <c r="G492" s="146"/>
      <c r="H492" s="130">
        <f>SUM(F492:G492)</f>
        <v>1106</v>
      </c>
      <c r="I492" s="130">
        <v>0</v>
      </c>
      <c r="J492" s="130"/>
      <c r="K492" s="130">
        <v>0</v>
      </c>
      <c r="L492" s="130">
        <v>0</v>
      </c>
      <c r="M492" s="130"/>
      <c r="N492" s="130">
        <v>0</v>
      </c>
    </row>
    <row r="493" spans="1:14" ht="26.25" x14ac:dyDescent="0.25">
      <c r="A493" s="36" t="s">
        <v>408</v>
      </c>
      <c r="B493" s="36"/>
      <c r="C493" s="22" t="s">
        <v>409</v>
      </c>
      <c r="D493" s="131">
        <f>D494</f>
        <v>15746.8</v>
      </c>
      <c r="E493" s="131"/>
      <c r="F493" s="131">
        <f>F494</f>
        <v>16368.9</v>
      </c>
      <c r="G493" s="131">
        <f t="shared" ref="G493:N493" si="41">G494</f>
        <v>0</v>
      </c>
      <c r="H493" s="131">
        <f t="shared" si="41"/>
        <v>16368.9</v>
      </c>
      <c r="I493" s="131">
        <f t="shared" si="41"/>
        <v>16533.8</v>
      </c>
      <c r="J493" s="131">
        <f t="shared" si="41"/>
        <v>0</v>
      </c>
      <c r="K493" s="131">
        <f t="shared" si="41"/>
        <v>16533.8</v>
      </c>
      <c r="L493" s="131">
        <f t="shared" si="41"/>
        <v>16533.8</v>
      </c>
      <c r="M493" s="131">
        <f t="shared" si="41"/>
        <v>0</v>
      </c>
      <c r="N493" s="131">
        <f t="shared" si="41"/>
        <v>16533.8</v>
      </c>
    </row>
    <row r="494" spans="1:14" ht="25.5" x14ac:dyDescent="0.25">
      <c r="A494" s="7" t="s">
        <v>410</v>
      </c>
      <c r="B494" s="7"/>
      <c r="C494" s="23" t="s">
        <v>411</v>
      </c>
      <c r="D494" s="130">
        <f>14309.4+1437.4</f>
        <v>15746.8</v>
      </c>
      <c r="E494" s="130"/>
      <c r="F494" s="130">
        <f>F495</f>
        <v>16368.9</v>
      </c>
      <c r="G494" s="130"/>
      <c r="H494" s="130">
        <f t="shared" ref="H494:N494" si="42">H495</f>
        <v>16368.9</v>
      </c>
      <c r="I494" s="130">
        <f t="shared" si="42"/>
        <v>16533.8</v>
      </c>
      <c r="J494" s="130">
        <f t="shared" si="42"/>
        <v>0</v>
      </c>
      <c r="K494" s="130">
        <f t="shared" si="42"/>
        <v>16533.8</v>
      </c>
      <c r="L494" s="130">
        <f t="shared" si="42"/>
        <v>16533.8</v>
      </c>
      <c r="M494" s="130">
        <f t="shared" si="42"/>
        <v>0</v>
      </c>
      <c r="N494" s="130">
        <f t="shared" si="42"/>
        <v>16533.8</v>
      </c>
    </row>
    <row r="495" spans="1:14" ht="25.5" x14ac:dyDescent="0.25">
      <c r="A495" s="7"/>
      <c r="B495" s="7" t="s">
        <v>608</v>
      </c>
      <c r="C495" s="1" t="s">
        <v>609</v>
      </c>
      <c r="D495" s="130">
        <f>14309.4+1437.4</f>
        <v>15746.8</v>
      </c>
      <c r="E495" s="130"/>
      <c r="F495" s="130">
        <v>16368.9</v>
      </c>
      <c r="G495" s="146"/>
      <c r="H495" s="130">
        <f>SUM(F495+G495)</f>
        <v>16368.9</v>
      </c>
      <c r="I495" s="130">
        <v>16533.8</v>
      </c>
      <c r="J495" s="130"/>
      <c r="K495" s="130">
        <f>SUM(I495+J495)</f>
        <v>16533.8</v>
      </c>
      <c r="L495" s="130">
        <v>16533.8</v>
      </c>
      <c r="M495" s="130"/>
      <c r="N495" s="130">
        <f>SUM(L495:M495)</f>
        <v>16533.8</v>
      </c>
    </row>
    <row r="496" spans="1:14" ht="26.25" x14ac:dyDescent="0.25">
      <c r="A496" s="32" t="s">
        <v>412</v>
      </c>
      <c r="B496" s="32"/>
      <c r="C496" s="40" t="s">
        <v>413</v>
      </c>
      <c r="D496" s="132">
        <f t="shared" ref="D496:J496" si="43">D497+D528+D532</f>
        <v>62664</v>
      </c>
      <c r="E496" s="132">
        <f t="shared" si="43"/>
        <v>1729</v>
      </c>
      <c r="F496" s="132">
        <f t="shared" si="43"/>
        <v>63567.9</v>
      </c>
      <c r="G496" s="132">
        <f t="shared" si="43"/>
        <v>-10080.859040000001</v>
      </c>
      <c r="H496" s="132">
        <f t="shared" si="43"/>
        <v>53487.040959999998</v>
      </c>
      <c r="I496" s="132">
        <f t="shared" si="43"/>
        <v>100832.74615000001</v>
      </c>
      <c r="J496" s="132">
        <f t="shared" si="43"/>
        <v>0</v>
      </c>
      <c r="K496" s="132">
        <f>K497+K528+K532</f>
        <v>100832.74615000001</v>
      </c>
      <c r="L496" s="132">
        <f>L497+L528+L532</f>
        <v>113951.00175</v>
      </c>
      <c r="M496" s="132">
        <f>M497+M528+M532</f>
        <v>0</v>
      </c>
      <c r="N496" s="132">
        <f>N497+N528+N532</f>
        <v>113951.00175</v>
      </c>
    </row>
    <row r="497" spans="1:14" ht="26.25" x14ac:dyDescent="0.25">
      <c r="A497" s="34" t="s">
        <v>414</v>
      </c>
      <c r="B497" s="34"/>
      <c r="C497" s="35" t="s">
        <v>415</v>
      </c>
      <c r="D497" s="139">
        <f t="shared" ref="D497:H497" si="44">D498+D501+D506+D519</f>
        <v>58746.2</v>
      </c>
      <c r="E497" s="139">
        <f t="shared" si="44"/>
        <v>1729</v>
      </c>
      <c r="F497" s="139">
        <f t="shared" si="44"/>
        <v>59388.2</v>
      </c>
      <c r="G497" s="139">
        <f t="shared" si="44"/>
        <v>-10301.182140000001</v>
      </c>
      <c r="H497" s="139">
        <f t="shared" si="44"/>
        <v>49087.01786</v>
      </c>
      <c r="I497" s="139">
        <f t="shared" ref="I497:N497" si="45">I498+I501+I506+I519+I522</f>
        <v>96758.246150000006</v>
      </c>
      <c r="J497" s="139">
        <f t="shared" si="45"/>
        <v>0</v>
      </c>
      <c r="K497" s="139">
        <f t="shared" si="45"/>
        <v>96758.246150000006</v>
      </c>
      <c r="L497" s="139">
        <f t="shared" si="45"/>
        <v>109713.50175</v>
      </c>
      <c r="M497" s="139">
        <f t="shared" si="45"/>
        <v>0</v>
      </c>
      <c r="N497" s="139">
        <f t="shared" si="45"/>
        <v>109713.50175</v>
      </c>
    </row>
    <row r="498" spans="1:14" x14ac:dyDescent="0.25">
      <c r="A498" s="36" t="s">
        <v>416</v>
      </c>
      <c r="B498" s="36"/>
      <c r="C498" s="37" t="s">
        <v>417</v>
      </c>
      <c r="D498" s="131">
        <f>D499</f>
        <v>500</v>
      </c>
      <c r="E498" s="131"/>
      <c r="F498" s="131">
        <f>F499</f>
        <v>500</v>
      </c>
      <c r="G498" s="131"/>
      <c r="H498" s="131">
        <f t="shared" ref="H498:N498" si="46">H499</f>
        <v>500</v>
      </c>
      <c r="I498" s="131">
        <f t="shared" si="46"/>
        <v>310.67615000000001</v>
      </c>
      <c r="J498" s="131">
        <f t="shared" si="46"/>
        <v>0</v>
      </c>
      <c r="K498" s="131">
        <f t="shared" si="46"/>
        <v>310.67615000000001</v>
      </c>
      <c r="L498" s="131">
        <f t="shared" si="46"/>
        <v>290.05174999999997</v>
      </c>
      <c r="M498" s="131">
        <f t="shared" si="46"/>
        <v>0</v>
      </c>
      <c r="N498" s="131">
        <f t="shared" si="46"/>
        <v>290.05174999999997</v>
      </c>
    </row>
    <row r="499" spans="1:14" x14ac:dyDescent="0.25">
      <c r="A499" s="7" t="s">
        <v>418</v>
      </c>
      <c r="B499" s="13"/>
      <c r="C499" s="3" t="s">
        <v>419</v>
      </c>
      <c r="D499" s="130">
        <v>500</v>
      </c>
      <c r="E499" s="130"/>
      <c r="F499" s="130">
        <v>500</v>
      </c>
      <c r="G499" s="130"/>
      <c r="H499" s="130">
        <v>500</v>
      </c>
      <c r="I499" s="130">
        <f t="shared" ref="I499:N499" si="47">I500</f>
        <v>310.67615000000001</v>
      </c>
      <c r="J499" s="130">
        <f t="shared" si="47"/>
        <v>0</v>
      </c>
      <c r="K499" s="130">
        <f t="shared" si="47"/>
        <v>310.67615000000001</v>
      </c>
      <c r="L499" s="130">
        <f t="shared" si="47"/>
        <v>290.05174999999997</v>
      </c>
      <c r="M499" s="130">
        <f t="shared" si="47"/>
        <v>0</v>
      </c>
      <c r="N499" s="130">
        <f t="shared" si="47"/>
        <v>290.05174999999997</v>
      </c>
    </row>
    <row r="500" spans="1:14" ht="26.25" x14ac:dyDescent="0.25">
      <c r="A500" s="7"/>
      <c r="B500" s="7" t="s">
        <v>336</v>
      </c>
      <c r="C500" s="3" t="s">
        <v>337</v>
      </c>
      <c r="D500" s="130">
        <v>500</v>
      </c>
      <c r="E500" s="130"/>
      <c r="F500" s="130">
        <v>500</v>
      </c>
      <c r="G500" s="130"/>
      <c r="H500" s="130">
        <v>500</v>
      </c>
      <c r="I500" s="130">
        <v>310.67615000000001</v>
      </c>
      <c r="J500" s="130"/>
      <c r="K500" s="130">
        <f>520-209.32385</f>
        <v>310.67615000000001</v>
      </c>
      <c r="L500" s="130">
        <v>290.05174999999997</v>
      </c>
      <c r="M500" s="130"/>
      <c r="N500" s="130">
        <f>540.8-250.74825</f>
        <v>290.05174999999997</v>
      </c>
    </row>
    <row r="501" spans="1:14" x14ac:dyDescent="0.25">
      <c r="A501" s="36" t="s">
        <v>596</v>
      </c>
      <c r="B501" s="36"/>
      <c r="C501" s="37" t="s">
        <v>420</v>
      </c>
      <c r="D501" s="131">
        <f>D502</f>
        <v>3833.3</v>
      </c>
      <c r="E501" s="131">
        <f>E504</f>
        <v>595</v>
      </c>
      <c r="F501" s="131">
        <f>F502+F504</f>
        <v>4428.3</v>
      </c>
      <c r="G501" s="131"/>
      <c r="H501" s="131">
        <f>H502+H504</f>
        <v>4428.3</v>
      </c>
      <c r="I501" s="131">
        <f>I502</f>
        <v>0</v>
      </c>
      <c r="J501" s="131"/>
      <c r="K501" s="131">
        <f>K502</f>
        <v>0</v>
      </c>
      <c r="L501" s="131">
        <f>L502</f>
        <v>0</v>
      </c>
      <c r="M501" s="131"/>
      <c r="N501" s="131">
        <f>N502</f>
        <v>0</v>
      </c>
    </row>
    <row r="502" spans="1:14" ht="26.25" x14ac:dyDescent="0.25">
      <c r="A502" s="7" t="s">
        <v>597</v>
      </c>
      <c r="B502" s="13"/>
      <c r="C502" s="3" t="s">
        <v>421</v>
      </c>
      <c r="D502" s="130">
        <v>3833.3</v>
      </c>
      <c r="E502" s="130"/>
      <c r="F502" s="130">
        <v>3833.3</v>
      </c>
      <c r="G502" s="130"/>
      <c r="H502" s="130">
        <v>3833.3</v>
      </c>
      <c r="I502" s="130">
        <v>0</v>
      </c>
      <c r="J502" s="130"/>
      <c r="K502" s="130">
        <v>0</v>
      </c>
      <c r="L502" s="130">
        <v>0</v>
      </c>
      <c r="M502" s="130"/>
      <c r="N502" s="130">
        <v>0</v>
      </c>
    </row>
    <row r="503" spans="1:14" ht="26.25" x14ac:dyDescent="0.25">
      <c r="A503" s="7"/>
      <c r="B503" s="7" t="s">
        <v>336</v>
      </c>
      <c r="C503" s="3" t="s">
        <v>337</v>
      </c>
      <c r="D503" s="130">
        <v>3833.3</v>
      </c>
      <c r="E503" s="146"/>
      <c r="F503" s="130">
        <v>3833.3</v>
      </c>
      <c r="G503" s="130"/>
      <c r="H503" s="130">
        <v>3833.3</v>
      </c>
      <c r="I503" s="130">
        <v>0</v>
      </c>
      <c r="J503" s="130"/>
      <c r="K503" s="130">
        <v>0</v>
      </c>
      <c r="L503" s="130">
        <v>0</v>
      </c>
      <c r="M503" s="130"/>
      <c r="N503" s="130">
        <v>0</v>
      </c>
    </row>
    <row r="504" spans="1:14" ht="39" x14ac:dyDescent="0.25">
      <c r="A504" s="7" t="s">
        <v>772</v>
      </c>
      <c r="B504" s="7"/>
      <c r="C504" s="3" t="s">
        <v>771</v>
      </c>
      <c r="D504" s="130"/>
      <c r="E504" s="146">
        <v>595</v>
      </c>
      <c r="F504" s="130">
        <v>595</v>
      </c>
      <c r="G504" s="130"/>
      <c r="H504" s="130">
        <v>595</v>
      </c>
      <c r="I504" s="130">
        <v>0</v>
      </c>
      <c r="J504" s="130"/>
      <c r="K504" s="130">
        <v>0</v>
      </c>
      <c r="L504" s="130">
        <v>0</v>
      </c>
      <c r="M504" s="130"/>
      <c r="N504" s="130">
        <v>0</v>
      </c>
    </row>
    <row r="505" spans="1:14" ht="26.25" x14ac:dyDescent="0.25">
      <c r="A505" s="7"/>
      <c r="B505" s="7" t="s">
        <v>336</v>
      </c>
      <c r="C505" s="3" t="s">
        <v>337</v>
      </c>
      <c r="D505" s="130"/>
      <c r="E505" s="146">
        <v>595</v>
      </c>
      <c r="F505" s="130">
        <v>595</v>
      </c>
      <c r="G505" s="130"/>
      <c r="H505" s="130">
        <v>595</v>
      </c>
      <c r="I505" s="130">
        <v>0</v>
      </c>
      <c r="J505" s="130"/>
      <c r="K505" s="130">
        <v>0</v>
      </c>
      <c r="L505" s="130">
        <v>0</v>
      </c>
      <c r="M505" s="130"/>
      <c r="N505" s="130">
        <v>0</v>
      </c>
    </row>
    <row r="506" spans="1:14" ht="26.25" x14ac:dyDescent="0.25">
      <c r="A506" s="36" t="s">
        <v>422</v>
      </c>
      <c r="B506" s="36"/>
      <c r="C506" s="37" t="s">
        <v>423</v>
      </c>
      <c r="D506" s="131">
        <f>D507+D511+D513+D515</f>
        <v>27098.6</v>
      </c>
      <c r="E506" s="131">
        <f>E507+E511+E513+E515+E517</f>
        <v>1134</v>
      </c>
      <c r="F506" s="131">
        <f>F507+F511+F513+F515+F517</f>
        <v>28232.6</v>
      </c>
      <c r="G506" s="131">
        <f>G507+G511+G513+G515+G517</f>
        <v>-10301.182140000001</v>
      </c>
      <c r="H506" s="131">
        <f>H507+H511+H513+H515+H517</f>
        <v>17931.417860000001</v>
      </c>
      <c r="I506" s="131">
        <f t="shared" ref="I506:N506" si="48">I507+I511+I513+I515</f>
        <v>32374.899999999998</v>
      </c>
      <c r="J506" s="131">
        <f t="shared" si="48"/>
        <v>0</v>
      </c>
      <c r="K506" s="131">
        <f t="shared" si="48"/>
        <v>32374.899999999998</v>
      </c>
      <c r="L506" s="131">
        <f t="shared" si="48"/>
        <v>29730.7</v>
      </c>
      <c r="M506" s="131">
        <f t="shared" si="48"/>
        <v>0</v>
      </c>
      <c r="N506" s="131">
        <f t="shared" si="48"/>
        <v>29730.7</v>
      </c>
    </row>
    <row r="507" spans="1:14" x14ac:dyDescent="0.25">
      <c r="A507" s="7" t="s">
        <v>424</v>
      </c>
      <c r="B507" s="13"/>
      <c r="C507" s="3" t="s">
        <v>425</v>
      </c>
      <c r="D507" s="130">
        <f>D509+D510</f>
        <v>20083.900000000001</v>
      </c>
      <c r="E507" s="130"/>
      <c r="F507" s="130">
        <f>F509+F510</f>
        <v>20083.900000000001</v>
      </c>
      <c r="G507" s="130">
        <f>G508</f>
        <v>-11200.95448</v>
      </c>
      <c r="H507" s="130">
        <f>H509+H510</f>
        <v>8882.9455200000011</v>
      </c>
      <c r="I507" s="130">
        <f>I509+I510</f>
        <v>29008.6</v>
      </c>
      <c r="J507" s="130"/>
      <c r="K507" s="130">
        <f>K509+K510</f>
        <v>29008.6</v>
      </c>
      <c r="L507" s="130">
        <f>L509+L510</f>
        <v>28846.3</v>
      </c>
      <c r="M507" s="130"/>
      <c r="N507" s="130">
        <f>N509+N510</f>
        <v>28846.3</v>
      </c>
    </row>
    <row r="508" spans="1:14" ht="26.25" x14ac:dyDescent="0.25">
      <c r="A508" s="7"/>
      <c r="B508" s="7" t="s">
        <v>336</v>
      </c>
      <c r="C508" s="3" t="s">
        <v>337</v>
      </c>
      <c r="D508" s="130">
        <f>SUM(D509+D510)</f>
        <v>20083.900000000001</v>
      </c>
      <c r="E508" s="130"/>
      <c r="F508" s="130">
        <f>SUM(F509+F510)</f>
        <v>20083.900000000001</v>
      </c>
      <c r="G508" s="130">
        <f>SUM(G509:G510)</f>
        <v>-11200.95448</v>
      </c>
      <c r="H508" s="130">
        <f>SUM(H509+H510)</f>
        <v>8882.9455200000011</v>
      </c>
      <c r="I508" s="130">
        <v>29008.6</v>
      </c>
      <c r="J508" s="130"/>
      <c r="K508" s="130">
        <v>29008.6</v>
      </c>
      <c r="L508" s="130">
        <v>28846.3</v>
      </c>
      <c r="M508" s="130"/>
      <c r="N508" s="130">
        <v>28846.3</v>
      </c>
    </row>
    <row r="509" spans="1:14" x14ac:dyDescent="0.25">
      <c r="A509" s="7"/>
      <c r="B509" s="7"/>
      <c r="C509" s="3" t="s">
        <v>95</v>
      </c>
      <c r="D509" s="130">
        <v>18075.5</v>
      </c>
      <c r="E509" s="130"/>
      <c r="F509" s="130">
        <v>18075.5</v>
      </c>
      <c r="G509" s="278">
        <f>1671.44125-11752.30029</f>
        <v>-10080.859039999999</v>
      </c>
      <c r="H509" s="130">
        <f>SUM(F509:G509)</f>
        <v>7994.6409600000006</v>
      </c>
      <c r="I509" s="130">
        <v>26107.599999999999</v>
      </c>
      <c r="J509" s="130"/>
      <c r="K509" s="130">
        <v>26107.599999999999</v>
      </c>
      <c r="L509" s="130">
        <v>25961.7</v>
      </c>
      <c r="M509" s="130"/>
      <c r="N509" s="130">
        <v>25961.7</v>
      </c>
    </row>
    <row r="510" spans="1:14" x14ac:dyDescent="0.25">
      <c r="A510" s="7"/>
      <c r="B510" s="7"/>
      <c r="C510" s="3" t="s">
        <v>171</v>
      </c>
      <c r="D510" s="130">
        <v>2008.4</v>
      </c>
      <c r="E510" s="130"/>
      <c r="F510" s="130">
        <v>2008.4</v>
      </c>
      <c r="G510" s="130">
        <f>-124.54235-575.22999-160.3231-60-200</f>
        <v>-1120.0954400000001</v>
      </c>
      <c r="H510" s="130">
        <f>SUM(F510:G510)</f>
        <v>888.30456000000004</v>
      </c>
      <c r="I510" s="130">
        <v>2901</v>
      </c>
      <c r="J510" s="130"/>
      <c r="K510" s="130">
        <v>2901</v>
      </c>
      <c r="L510" s="130">
        <v>2884.6</v>
      </c>
      <c r="M510" s="130"/>
      <c r="N510" s="130">
        <v>2884.6</v>
      </c>
    </row>
    <row r="511" spans="1:14" x14ac:dyDescent="0.25">
      <c r="A511" s="7" t="s">
        <v>594</v>
      </c>
      <c r="B511" s="13"/>
      <c r="C511" s="3" t="s">
        <v>611</v>
      </c>
      <c r="D511" s="130">
        <f>D512</f>
        <v>2913.3</v>
      </c>
      <c r="E511" s="130"/>
      <c r="F511" s="130">
        <f>F512</f>
        <v>2913.3</v>
      </c>
      <c r="G511" s="130">
        <f>G512</f>
        <v>654.58646999999996</v>
      </c>
      <c r="H511" s="130">
        <f>H512</f>
        <v>3567.8864700000004</v>
      </c>
      <c r="I511" s="130">
        <f>I512</f>
        <v>0</v>
      </c>
      <c r="J511" s="130"/>
      <c r="K511" s="130">
        <f>K512</f>
        <v>0</v>
      </c>
      <c r="L511" s="130">
        <f>L512</f>
        <v>0</v>
      </c>
      <c r="M511" s="130"/>
      <c r="N511" s="130">
        <f>N512</f>
        <v>0</v>
      </c>
    </row>
    <row r="512" spans="1:14" ht="26.25" x14ac:dyDescent="0.25">
      <c r="A512" s="7"/>
      <c r="B512" s="7" t="s">
        <v>336</v>
      </c>
      <c r="C512" s="3" t="s">
        <v>337</v>
      </c>
      <c r="D512" s="130">
        <v>2913.3</v>
      </c>
      <c r="E512" s="130"/>
      <c r="F512" s="130">
        <v>2913.3</v>
      </c>
      <c r="G512" s="130">
        <f>124.54235+575.22999-45.18587</f>
        <v>654.58646999999996</v>
      </c>
      <c r="H512" s="130">
        <f>SUM(F512+G512)</f>
        <v>3567.8864700000004</v>
      </c>
      <c r="I512" s="130">
        <v>0</v>
      </c>
      <c r="J512" s="130"/>
      <c r="K512" s="130">
        <v>0</v>
      </c>
      <c r="L512" s="130">
        <v>0</v>
      </c>
      <c r="M512" s="130"/>
      <c r="N512" s="130">
        <v>0</v>
      </c>
    </row>
    <row r="513" spans="1:14" x14ac:dyDescent="0.25">
      <c r="A513" s="7" t="s">
        <v>426</v>
      </c>
      <c r="B513" s="13"/>
      <c r="C513" s="3" t="s">
        <v>595</v>
      </c>
      <c r="D513" s="130">
        <v>4101.3999999999996</v>
      </c>
      <c r="E513" s="130"/>
      <c r="F513" s="130">
        <v>4101.3999999999996</v>
      </c>
      <c r="G513" s="130">
        <f>G514</f>
        <v>245.18586999999999</v>
      </c>
      <c r="H513" s="130">
        <f>H514</f>
        <v>4346.5858699999999</v>
      </c>
      <c r="I513" s="130">
        <v>3366.3</v>
      </c>
      <c r="J513" s="130">
        <f>J514</f>
        <v>0</v>
      </c>
      <c r="K513" s="130">
        <f>K514</f>
        <v>3366.3</v>
      </c>
      <c r="L513" s="130">
        <v>884.4</v>
      </c>
      <c r="M513" s="130">
        <f>M514</f>
        <v>0</v>
      </c>
      <c r="N513" s="130">
        <f>N514</f>
        <v>884.4</v>
      </c>
    </row>
    <row r="514" spans="1:14" ht="26.25" x14ac:dyDescent="0.25">
      <c r="A514" s="4"/>
      <c r="B514" s="7" t="s">
        <v>336</v>
      </c>
      <c r="C514" s="3" t="s">
        <v>337</v>
      </c>
      <c r="D514" s="130">
        <v>4101.3999999999996</v>
      </c>
      <c r="E514" s="130"/>
      <c r="F514" s="130">
        <v>4101.3999999999996</v>
      </c>
      <c r="G514" s="130">
        <f>45.18587+200</f>
        <v>245.18586999999999</v>
      </c>
      <c r="H514" s="130">
        <f>SUM(F514+G514)</f>
        <v>4346.5858699999999</v>
      </c>
      <c r="I514" s="130">
        <v>3366.3</v>
      </c>
      <c r="J514" s="130">
        <v>0</v>
      </c>
      <c r="K514" s="130">
        <f>SUM(I514:J514)</f>
        <v>3366.3</v>
      </c>
      <c r="L514" s="130">
        <v>884.4</v>
      </c>
      <c r="M514" s="130">
        <v>0</v>
      </c>
      <c r="N514" s="130">
        <f>SUM(L514:M514)</f>
        <v>884.4</v>
      </c>
    </row>
    <row r="515" spans="1:14" ht="25.5" x14ac:dyDescent="0.25">
      <c r="A515" s="4" t="s">
        <v>427</v>
      </c>
      <c r="B515" s="4"/>
      <c r="C515" s="6" t="s">
        <v>788</v>
      </c>
      <c r="D515" s="130">
        <v>0</v>
      </c>
      <c r="E515" s="146">
        <v>315</v>
      </c>
      <c r="F515" s="130">
        <v>315</v>
      </c>
      <c r="G515" s="130"/>
      <c r="H515" s="130">
        <v>315</v>
      </c>
      <c r="I515" s="130">
        <v>0</v>
      </c>
      <c r="J515" s="130"/>
      <c r="K515" s="130">
        <v>0</v>
      </c>
      <c r="L515" s="130">
        <v>0</v>
      </c>
      <c r="M515" s="130"/>
      <c r="N515" s="130">
        <v>0</v>
      </c>
    </row>
    <row r="516" spans="1:14" ht="26.25" x14ac:dyDescent="0.25">
      <c r="A516" s="4"/>
      <c r="B516" s="7" t="s">
        <v>336</v>
      </c>
      <c r="C516" s="3" t="s">
        <v>337</v>
      </c>
      <c r="D516" s="130"/>
      <c r="E516" s="146">
        <v>315</v>
      </c>
      <c r="F516" s="130">
        <v>315</v>
      </c>
      <c r="G516" s="130"/>
      <c r="H516" s="130">
        <v>315</v>
      </c>
      <c r="I516" s="130">
        <v>0</v>
      </c>
      <c r="J516" s="130"/>
      <c r="K516" s="130">
        <v>0</v>
      </c>
      <c r="L516" s="130">
        <v>0</v>
      </c>
      <c r="M516" s="130"/>
      <c r="N516" s="130">
        <v>0</v>
      </c>
    </row>
    <row r="517" spans="1:14" ht="38.25" x14ac:dyDescent="0.25">
      <c r="A517" s="4" t="s">
        <v>773</v>
      </c>
      <c r="B517" s="4"/>
      <c r="C517" s="6" t="s">
        <v>774</v>
      </c>
      <c r="D517" s="130"/>
      <c r="E517" s="146">
        <v>819</v>
      </c>
      <c r="F517" s="130">
        <v>819</v>
      </c>
      <c r="G517" s="130"/>
      <c r="H517" s="130">
        <v>819</v>
      </c>
      <c r="I517" s="130">
        <v>0</v>
      </c>
      <c r="J517" s="130"/>
      <c r="K517" s="130">
        <v>0</v>
      </c>
      <c r="L517" s="130">
        <v>0</v>
      </c>
      <c r="M517" s="130"/>
      <c r="N517" s="130">
        <v>0</v>
      </c>
    </row>
    <row r="518" spans="1:14" ht="25.5" x14ac:dyDescent="0.25">
      <c r="A518" s="4"/>
      <c r="B518" s="4" t="s">
        <v>336</v>
      </c>
      <c r="C518" s="6" t="s">
        <v>337</v>
      </c>
      <c r="D518" s="130"/>
      <c r="E518" s="146">
        <v>819</v>
      </c>
      <c r="F518" s="130">
        <v>819</v>
      </c>
      <c r="G518" s="130"/>
      <c r="H518" s="130">
        <v>819</v>
      </c>
      <c r="I518" s="130">
        <v>0</v>
      </c>
      <c r="J518" s="130"/>
      <c r="K518" s="130">
        <v>0</v>
      </c>
      <c r="L518" s="130">
        <v>0</v>
      </c>
      <c r="M518" s="130"/>
      <c r="N518" s="130">
        <v>0</v>
      </c>
    </row>
    <row r="519" spans="1:14" x14ac:dyDescent="0.25">
      <c r="A519" s="36" t="s">
        <v>429</v>
      </c>
      <c r="B519" s="36"/>
      <c r="C519" s="37" t="s">
        <v>430</v>
      </c>
      <c r="D519" s="131">
        <f>D520</f>
        <v>27314.3</v>
      </c>
      <c r="E519" s="131"/>
      <c r="F519" s="131">
        <f t="shared" ref="F519:L519" si="49">F520</f>
        <v>26227.3</v>
      </c>
      <c r="G519" s="131">
        <f t="shared" si="49"/>
        <v>0</v>
      </c>
      <c r="H519" s="131">
        <f t="shared" si="49"/>
        <v>26227.3</v>
      </c>
      <c r="I519" s="131">
        <f t="shared" si="49"/>
        <v>22207.9</v>
      </c>
      <c r="J519" s="131">
        <f t="shared" si="49"/>
        <v>0</v>
      </c>
      <c r="K519" s="131">
        <f t="shared" si="49"/>
        <v>22207.9</v>
      </c>
      <c r="L519" s="131">
        <f t="shared" si="49"/>
        <v>29543.1</v>
      </c>
      <c r="M519" s="131"/>
      <c r="N519" s="131">
        <f>N520</f>
        <v>29543.1</v>
      </c>
    </row>
    <row r="520" spans="1:14" x14ac:dyDescent="0.25">
      <c r="A520" s="7" t="s">
        <v>431</v>
      </c>
      <c r="B520" s="13"/>
      <c r="C520" s="3" t="s">
        <v>432</v>
      </c>
      <c r="D520" s="130">
        <v>27314.3</v>
      </c>
      <c r="E520" s="130"/>
      <c r="F520" s="130">
        <f>F521</f>
        <v>26227.3</v>
      </c>
      <c r="G520" s="130"/>
      <c r="H520" s="130">
        <f>F520+G520</f>
        <v>26227.3</v>
      </c>
      <c r="I520" s="130">
        <f>I521</f>
        <v>22207.9</v>
      </c>
      <c r="J520" s="130">
        <f>J521</f>
        <v>0</v>
      </c>
      <c r="K520" s="130">
        <f>K521</f>
        <v>22207.9</v>
      </c>
      <c r="L520" s="130">
        <v>29543.1</v>
      </c>
      <c r="M520" s="130"/>
      <c r="N520" s="130">
        <v>29543.1</v>
      </c>
    </row>
    <row r="521" spans="1:14" ht="26.25" x14ac:dyDescent="0.25">
      <c r="A521" s="7"/>
      <c r="B521" s="7" t="s">
        <v>336</v>
      </c>
      <c r="C521" s="3" t="s">
        <v>337</v>
      </c>
      <c r="D521" s="130">
        <v>3367.5</v>
      </c>
      <c r="E521" s="130"/>
      <c r="F521" s="130">
        <v>26227.3</v>
      </c>
      <c r="G521" s="130"/>
      <c r="H521" s="130">
        <f>26964.3-737</f>
        <v>26227.3</v>
      </c>
      <c r="I521" s="130">
        <v>22207.9</v>
      </c>
      <c r="J521" s="130"/>
      <c r="K521" s="130">
        <f>28406.9-6199</f>
        <v>22207.9</v>
      </c>
      <c r="L521" s="130">
        <v>29543.1</v>
      </c>
      <c r="M521" s="130"/>
      <c r="N521" s="130">
        <v>29543.1</v>
      </c>
    </row>
    <row r="522" spans="1:14" ht="25.5" x14ac:dyDescent="0.25">
      <c r="A522" s="36" t="s">
        <v>824</v>
      </c>
      <c r="B522" s="36"/>
      <c r="C522" s="16" t="s">
        <v>825</v>
      </c>
      <c r="D522" s="131">
        <f>D523</f>
        <v>0</v>
      </c>
      <c r="E522" s="131"/>
      <c r="F522" s="131">
        <f t="shared" ref="F522:N522" si="50">F523</f>
        <v>0</v>
      </c>
      <c r="G522" s="131">
        <f t="shared" si="50"/>
        <v>0</v>
      </c>
      <c r="H522" s="131">
        <f t="shared" si="50"/>
        <v>0</v>
      </c>
      <c r="I522" s="131">
        <v>41864.770000000004</v>
      </c>
      <c r="J522" s="131"/>
      <c r="K522" s="131">
        <f t="shared" si="50"/>
        <v>41864.770000000004</v>
      </c>
      <c r="L522" s="131">
        <v>50149.65</v>
      </c>
      <c r="M522" s="131"/>
      <c r="N522" s="131">
        <f t="shared" si="50"/>
        <v>50149.65</v>
      </c>
    </row>
    <row r="523" spans="1:14" ht="26.25" x14ac:dyDescent="0.25">
      <c r="A523" s="7" t="s">
        <v>827</v>
      </c>
      <c r="B523" s="7"/>
      <c r="C523" s="3" t="s">
        <v>826</v>
      </c>
      <c r="D523" s="130"/>
      <c r="E523" s="130"/>
      <c r="F523" s="130"/>
      <c r="G523" s="130"/>
      <c r="H523" s="130">
        <v>0</v>
      </c>
      <c r="I523" s="130">
        <v>41864.770000000004</v>
      </c>
      <c r="J523" s="130"/>
      <c r="K523" s="130">
        <f>K524</f>
        <v>41864.770000000004</v>
      </c>
      <c r="L523" s="130">
        <v>50149.65</v>
      </c>
      <c r="M523" s="130"/>
      <c r="N523" s="130">
        <f>N524</f>
        <v>50149.65</v>
      </c>
    </row>
    <row r="524" spans="1:14" ht="26.25" x14ac:dyDescent="0.25">
      <c r="A524" s="7"/>
      <c r="B524" s="7" t="s">
        <v>336</v>
      </c>
      <c r="C524" s="3" t="s">
        <v>337</v>
      </c>
      <c r="D524" s="130"/>
      <c r="E524" s="130"/>
      <c r="F524" s="130"/>
      <c r="G524" s="130"/>
      <c r="H524" s="130">
        <v>0</v>
      </c>
      <c r="I524" s="130">
        <v>41864.770000000004</v>
      </c>
      <c r="J524" s="130"/>
      <c r="K524" s="130">
        <f>K525+K526+K527</f>
        <v>41864.770000000004</v>
      </c>
      <c r="L524" s="130">
        <v>50149.65</v>
      </c>
      <c r="M524" s="130"/>
      <c r="N524" s="130">
        <f>N525+N526+N527</f>
        <v>50149.65</v>
      </c>
    </row>
    <row r="525" spans="1:14" x14ac:dyDescent="0.25">
      <c r="A525" s="7"/>
      <c r="B525" s="7"/>
      <c r="C525" s="3" t="s">
        <v>222</v>
      </c>
      <c r="D525" s="130"/>
      <c r="E525" s="130"/>
      <c r="F525" s="130"/>
      <c r="G525" s="130"/>
      <c r="H525" s="130">
        <v>0</v>
      </c>
      <c r="I525" s="130">
        <v>39572.673840000003</v>
      </c>
      <c r="J525" s="130"/>
      <c r="K525" s="130">
        <v>39572.673840000003</v>
      </c>
      <c r="L525" s="130">
        <v>47403.956680000003</v>
      </c>
      <c r="M525" s="130"/>
      <c r="N525" s="130">
        <v>47403.956680000003</v>
      </c>
    </row>
    <row r="526" spans="1:14" x14ac:dyDescent="0.25">
      <c r="A526" s="7"/>
      <c r="B526" s="7"/>
      <c r="C526" s="3" t="s">
        <v>219</v>
      </c>
      <c r="D526" s="130"/>
      <c r="E526" s="130"/>
      <c r="F526" s="130"/>
      <c r="G526" s="130"/>
      <c r="H526" s="130">
        <v>0</v>
      </c>
      <c r="I526" s="130">
        <v>2082.7723099999998</v>
      </c>
      <c r="J526" s="130"/>
      <c r="K526" s="130">
        <v>2082.7723099999998</v>
      </c>
      <c r="L526" s="130">
        <v>2494.9450700000002</v>
      </c>
      <c r="M526" s="130"/>
      <c r="N526" s="130">
        <v>2494.9450700000002</v>
      </c>
    </row>
    <row r="527" spans="1:14" x14ac:dyDescent="0.25">
      <c r="A527" s="7"/>
      <c r="B527" s="7"/>
      <c r="C527" s="3" t="s">
        <v>171</v>
      </c>
      <c r="D527" s="130"/>
      <c r="E527" s="130"/>
      <c r="F527" s="130"/>
      <c r="G527" s="130"/>
      <c r="H527" s="130">
        <v>0</v>
      </c>
      <c r="I527" s="130">
        <v>209.32384999999999</v>
      </c>
      <c r="J527" s="130"/>
      <c r="K527" s="130">
        <v>209.32384999999999</v>
      </c>
      <c r="L527" s="130">
        <v>250.74825000000001</v>
      </c>
      <c r="M527" s="130"/>
      <c r="N527" s="130">
        <v>250.74825000000001</v>
      </c>
    </row>
    <row r="528" spans="1:14" ht="26.25" x14ac:dyDescent="0.25">
      <c r="A528" s="34" t="s">
        <v>433</v>
      </c>
      <c r="B528" s="34"/>
      <c r="C528" s="35" t="s">
        <v>434</v>
      </c>
      <c r="D528" s="139">
        <f t="shared" ref="D528:N529" si="51">D529</f>
        <v>3367.5</v>
      </c>
      <c r="E528" s="139"/>
      <c r="F528" s="139">
        <f t="shared" si="51"/>
        <v>3629.4</v>
      </c>
      <c r="G528" s="139">
        <f t="shared" si="51"/>
        <v>0</v>
      </c>
      <c r="H528" s="139">
        <f t="shared" si="51"/>
        <v>3629.4</v>
      </c>
      <c r="I528" s="139">
        <f t="shared" si="51"/>
        <v>3502.2</v>
      </c>
      <c r="J528" s="139"/>
      <c r="K528" s="139">
        <f t="shared" si="51"/>
        <v>3502.2</v>
      </c>
      <c r="L528" s="139">
        <f t="shared" si="51"/>
        <v>3642.3</v>
      </c>
      <c r="M528" s="139"/>
      <c r="N528" s="139">
        <f t="shared" si="51"/>
        <v>3642.3</v>
      </c>
    </row>
    <row r="529" spans="1:14" ht="26.25" x14ac:dyDescent="0.25">
      <c r="A529" s="36" t="s">
        <v>435</v>
      </c>
      <c r="B529" s="36"/>
      <c r="C529" s="37" t="s">
        <v>436</v>
      </c>
      <c r="D529" s="131">
        <f t="shared" si="51"/>
        <v>3367.5</v>
      </c>
      <c r="E529" s="131"/>
      <c r="F529" s="131">
        <f t="shared" si="51"/>
        <v>3629.4</v>
      </c>
      <c r="G529" s="131">
        <f t="shared" si="51"/>
        <v>0</v>
      </c>
      <c r="H529" s="131">
        <f t="shared" si="51"/>
        <v>3629.4</v>
      </c>
      <c r="I529" s="131">
        <f t="shared" si="51"/>
        <v>3502.2</v>
      </c>
      <c r="J529" s="131"/>
      <c r="K529" s="131">
        <f t="shared" si="51"/>
        <v>3502.2</v>
      </c>
      <c r="L529" s="131">
        <f t="shared" si="51"/>
        <v>3642.3</v>
      </c>
      <c r="M529" s="131"/>
      <c r="N529" s="131">
        <f t="shared" si="51"/>
        <v>3642.3</v>
      </c>
    </row>
    <row r="530" spans="1:14" ht="26.25" x14ac:dyDescent="0.25">
      <c r="A530" s="7" t="s">
        <v>437</v>
      </c>
      <c r="B530" s="13"/>
      <c r="C530" s="3" t="s">
        <v>438</v>
      </c>
      <c r="D530" s="130">
        <v>3367.5</v>
      </c>
      <c r="E530" s="130"/>
      <c r="F530" s="130">
        <f>F531</f>
        <v>3629.4</v>
      </c>
      <c r="G530" s="130">
        <f>G531</f>
        <v>0</v>
      </c>
      <c r="H530" s="130">
        <f>H531</f>
        <v>3629.4</v>
      </c>
      <c r="I530" s="130">
        <v>3502.2</v>
      </c>
      <c r="J530" s="130"/>
      <c r="K530" s="130">
        <v>3502.2</v>
      </c>
      <c r="L530" s="130">
        <v>3642.3</v>
      </c>
      <c r="M530" s="130"/>
      <c r="N530" s="130">
        <v>3642.3</v>
      </c>
    </row>
    <row r="531" spans="1:14" ht="26.25" x14ac:dyDescent="0.25">
      <c r="A531" s="7"/>
      <c r="B531" s="7" t="s">
        <v>336</v>
      </c>
      <c r="C531" s="3" t="s">
        <v>337</v>
      </c>
      <c r="D531" s="130">
        <v>3367.5</v>
      </c>
      <c r="E531" s="130"/>
      <c r="F531" s="130">
        <v>3629.4</v>
      </c>
      <c r="G531" s="130"/>
      <c r="H531" s="130">
        <f>F531+G531</f>
        <v>3629.4</v>
      </c>
      <c r="I531" s="130">
        <v>3502.2</v>
      </c>
      <c r="J531" s="130"/>
      <c r="K531" s="130">
        <v>3502.2</v>
      </c>
      <c r="L531" s="130">
        <v>3642.3</v>
      </c>
      <c r="M531" s="130"/>
      <c r="N531" s="130">
        <v>3642.3</v>
      </c>
    </row>
    <row r="532" spans="1:14" ht="39" x14ac:dyDescent="0.25">
      <c r="A532" s="34" t="s">
        <v>439</v>
      </c>
      <c r="B532" s="34"/>
      <c r="C532" s="35" t="s">
        <v>440</v>
      </c>
      <c r="D532" s="139">
        <f t="shared" ref="D532:N534" si="52">D533</f>
        <v>550.30000000000018</v>
      </c>
      <c r="E532" s="139"/>
      <c r="F532" s="139">
        <f t="shared" si="52"/>
        <v>550.30000000000018</v>
      </c>
      <c r="G532" s="139">
        <f t="shared" si="52"/>
        <v>220.32310000000001</v>
      </c>
      <c r="H532" s="139">
        <f t="shared" si="52"/>
        <v>770.62310000000025</v>
      </c>
      <c r="I532" s="139">
        <f t="shared" si="52"/>
        <v>572.29999999999995</v>
      </c>
      <c r="J532" s="139"/>
      <c r="K532" s="139">
        <f t="shared" si="52"/>
        <v>572.29999999999995</v>
      </c>
      <c r="L532" s="139">
        <f t="shared" si="52"/>
        <v>595.20000000000005</v>
      </c>
      <c r="M532" s="139"/>
      <c r="N532" s="139">
        <f t="shared" si="52"/>
        <v>595.20000000000005</v>
      </c>
    </row>
    <row r="533" spans="1:14" ht="39" x14ac:dyDescent="0.25">
      <c r="A533" s="36" t="s">
        <v>441</v>
      </c>
      <c r="B533" s="36"/>
      <c r="C533" s="67" t="s">
        <v>442</v>
      </c>
      <c r="D533" s="131">
        <f t="shared" si="52"/>
        <v>550.30000000000018</v>
      </c>
      <c r="E533" s="131"/>
      <c r="F533" s="131">
        <f t="shared" si="52"/>
        <v>550.30000000000018</v>
      </c>
      <c r="G533" s="131">
        <f t="shared" si="52"/>
        <v>220.32310000000001</v>
      </c>
      <c r="H533" s="131">
        <f t="shared" si="52"/>
        <v>770.62310000000025</v>
      </c>
      <c r="I533" s="131">
        <f t="shared" si="52"/>
        <v>572.29999999999995</v>
      </c>
      <c r="J533" s="131"/>
      <c r="K533" s="131">
        <f t="shared" si="52"/>
        <v>572.29999999999995</v>
      </c>
      <c r="L533" s="131">
        <f t="shared" si="52"/>
        <v>595.20000000000005</v>
      </c>
      <c r="M533" s="131"/>
      <c r="N533" s="131">
        <f t="shared" si="52"/>
        <v>595.20000000000005</v>
      </c>
    </row>
    <row r="534" spans="1:14" ht="26.25" x14ac:dyDescent="0.25">
      <c r="A534" s="7" t="s">
        <v>443</v>
      </c>
      <c r="B534" s="7"/>
      <c r="C534" s="10" t="s">
        <v>598</v>
      </c>
      <c r="D534" s="130">
        <f>D535</f>
        <v>550.30000000000018</v>
      </c>
      <c r="E534" s="130"/>
      <c r="F534" s="130">
        <f>F535</f>
        <v>550.30000000000018</v>
      </c>
      <c r="G534" s="130">
        <f>G535</f>
        <v>220.32310000000001</v>
      </c>
      <c r="H534" s="130">
        <f>H535</f>
        <v>770.62310000000025</v>
      </c>
      <c r="I534" s="130">
        <f t="shared" si="52"/>
        <v>572.29999999999995</v>
      </c>
      <c r="J534" s="130"/>
      <c r="K534" s="130">
        <f t="shared" si="52"/>
        <v>572.29999999999995</v>
      </c>
      <c r="L534" s="130">
        <f t="shared" si="52"/>
        <v>595.20000000000005</v>
      </c>
      <c r="M534" s="130"/>
      <c r="N534" s="130">
        <f t="shared" si="52"/>
        <v>595.20000000000005</v>
      </c>
    </row>
    <row r="535" spans="1:14" ht="26.25" x14ac:dyDescent="0.25">
      <c r="A535" s="7"/>
      <c r="B535" s="7" t="s">
        <v>336</v>
      </c>
      <c r="C535" s="3" t="s">
        <v>337</v>
      </c>
      <c r="D535" s="130">
        <f>1848.9-1298.6</f>
        <v>550.30000000000018</v>
      </c>
      <c r="E535" s="130"/>
      <c r="F535" s="130">
        <f>1848.9-1298.6</f>
        <v>550.30000000000018</v>
      </c>
      <c r="G535" s="130">
        <f>60+160.3231</f>
        <v>220.32310000000001</v>
      </c>
      <c r="H535" s="130">
        <f>F535+G535</f>
        <v>770.62310000000025</v>
      </c>
      <c r="I535" s="130">
        <v>572.29999999999995</v>
      </c>
      <c r="J535" s="130"/>
      <c r="K535" s="130">
        <v>572.29999999999995</v>
      </c>
      <c r="L535" s="130">
        <v>595.20000000000005</v>
      </c>
      <c r="M535" s="130"/>
      <c r="N535" s="130">
        <v>595.20000000000005</v>
      </c>
    </row>
    <row r="536" spans="1:14" ht="39" x14ac:dyDescent="0.25">
      <c r="A536" s="32" t="s">
        <v>444</v>
      </c>
      <c r="B536" s="32"/>
      <c r="C536" s="40" t="s">
        <v>493</v>
      </c>
      <c r="D536" s="132">
        <f>D537+D540+D546</f>
        <v>9104.6049999999996</v>
      </c>
      <c r="E536" s="132"/>
      <c r="F536" s="132">
        <f>F537+F540+F546</f>
        <v>9230.6049999999996</v>
      </c>
      <c r="G536" s="132">
        <f>G537+G540+G546</f>
        <v>-83.699999999999989</v>
      </c>
      <c r="H536" s="132">
        <f>H537+H540+H546</f>
        <v>9146.9050000000007</v>
      </c>
      <c r="I536" s="132">
        <f>I537+I540+I546</f>
        <v>10433.211000000001</v>
      </c>
      <c r="J536" s="132"/>
      <c r="K536" s="132">
        <f>K537+K540+K546</f>
        <v>10433.211000000001</v>
      </c>
      <c r="L536" s="132">
        <f>L537+L540+L546</f>
        <v>10051.871999999999</v>
      </c>
      <c r="M536" s="132"/>
      <c r="N536" s="132">
        <f>N537+N540+N546</f>
        <v>10051.871999999999</v>
      </c>
    </row>
    <row r="537" spans="1:14" ht="26.25" x14ac:dyDescent="0.25">
      <c r="A537" s="36" t="s">
        <v>599</v>
      </c>
      <c r="B537" s="39"/>
      <c r="C537" s="37" t="s">
        <v>494</v>
      </c>
      <c r="D537" s="131">
        <f>D538</f>
        <v>100</v>
      </c>
      <c r="E537" s="131"/>
      <c r="F537" s="131">
        <f>F538</f>
        <v>226</v>
      </c>
      <c r="G537" s="131"/>
      <c r="H537" s="131">
        <f>H538</f>
        <v>226</v>
      </c>
      <c r="I537" s="131">
        <f>I538</f>
        <v>104</v>
      </c>
      <c r="J537" s="131"/>
      <c r="K537" s="131">
        <f>K538</f>
        <v>104</v>
      </c>
      <c r="L537" s="131">
        <f>L538</f>
        <v>108.2</v>
      </c>
      <c r="M537" s="131"/>
      <c r="N537" s="131">
        <f>N538</f>
        <v>108.2</v>
      </c>
    </row>
    <row r="538" spans="1:14" x14ac:dyDescent="0.25">
      <c r="A538" s="4" t="s">
        <v>600</v>
      </c>
      <c r="B538" s="17"/>
      <c r="C538" s="1" t="s">
        <v>495</v>
      </c>
      <c r="D538" s="130">
        <v>100</v>
      </c>
      <c r="E538" s="130"/>
      <c r="F538" s="130">
        <f>F539</f>
        <v>226</v>
      </c>
      <c r="G538" s="130"/>
      <c r="H538" s="130">
        <f>H539</f>
        <v>226</v>
      </c>
      <c r="I538" s="130">
        <v>104</v>
      </c>
      <c r="J538" s="130"/>
      <c r="K538" s="130">
        <v>104</v>
      </c>
      <c r="L538" s="130">
        <v>108.2</v>
      </c>
      <c r="M538" s="130"/>
      <c r="N538" s="130">
        <v>108.2</v>
      </c>
    </row>
    <row r="539" spans="1:14" ht="26.25" x14ac:dyDescent="0.25">
      <c r="A539" s="4"/>
      <c r="B539" s="7" t="s">
        <v>336</v>
      </c>
      <c r="C539" s="3" t="s">
        <v>337</v>
      </c>
      <c r="D539" s="130">
        <v>100</v>
      </c>
      <c r="E539" s="130"/>
      <c r="F539" s="130">
        <v>226</v>
      </c>
      <c r="G539" s="146"/>
      <c r="H539" s="130">
        <f>F539+G539</f>
        <v>226</v>
      </c>
      <c r="I539" s="130">
        <v>104</v>
      </c>
      <c r="J539" s="130"/>
      <c r="K539" s="130">
        <v>104</v>
      </c>
      <c r="L539" s="130">
        <v>108.2</v>
      </c>
      <c r="M539" s="130"/>
      <c r="N539" s="130">
        <v>108.2</v>
      </c>
    </row>
    <row r="540" spans="1:14" ht="26.25" x14ac:dyDescent="0.25">
      <c r="A540" s="36" t="s">
        <v>601</v>
      </c>
      <c r="B540" s="39"/>
      <c r="C540" s="37" t="s">
        <v>496</v>
      </c>
      <c r="D540" s="131">
        <f>D541</f>
        <v>6605.8760000000002</v>
      </c>
      <c r="E540" s="131"/>
      <c r="F540" s="131">
        <f>F541</f>
        <v>6605.8760000000002</v>
      </c>
      <c r="G540" s="131"/>
      <c r="H540" s="131">
        <f>H541</f>
        <v>6605.8760000000002</v>
      </c>
      <c r="I540" s="131">
        <f>I541</f>
        <v>7318.4800000000005</v>
      </c>
      <c r="J540" s="131"/>
      <c r="K540" s="131">
        <f>K541</f>
        <v>7318.4800000000005</v>
      </c>
      <c r="L540" s="131">
        <f>L541</f>
        <v>7297.4939999999997</v>
      </c>
      <c r="M540" s="131"/>
      <c r="N540" s="131">
        <f>N541</f>
        <v>7297.4939999999997</v>
      </c>
    </row>
    <row r="541" spans="1:14" ht="25.5" x14ac:dyDescent="0.25">
      <c r="A541" s="4" t="s">
        <v>602</v>
      </c>
      <c r="B541" s="17"/>
      <c r="C541" s="1" t="s">
        <v>497</v>
      </c>
      <c r="D541" s="130">
        <f>D543+D544+D545</f>
        <v>6605.8760000000002</v>
      </c>
      <c r="E541" s="130"/>
      <c r="F541" s="130">
        <f>F543+F544+F545</f>
        <v>6605.8760000000002</v>
      </c>
      <c r="G541" s="130"/>
      <c r="H541" s="130">
        <f>H543+H544+H545</f>
        <v>6605.8760000000002</v>
      </c>
      <c r="I541" s="130">
        <f>I543+I544+I545</f>
        <v>7318.4800000000005</v>
      </c>
      <c r="J541" s="130"/>
      <c r="K541" s="130">
        <f>K543+K544+K545</f>
        <v>7318.4800000000005</v>
      </c>
      <c r="L541" s="130">
        <f>L543+L544+L545</f>
        <v>7297.4939999999997</v>
      </c>
      <c r="M541" s="130"/>
      <c r="N541" s="130">
        <f>N543+N544+N545</f>
        <v>7297.4939999999997</v>
      </c>
    </row>
    <row r="542" spans="1:14" ht="26.25" x14ac:dyDescent="0.25">
      <c r="A542" s="4"/>
      <c r="B542" s="7" t="s">
        <v>336</v>
      </c>
      <c r="C542" s="3" t="s">
        <v>337</v>
      </c>
      <c r="D542" s="146">
        <v>6605.9000000000005</v>
      </c>
      <c r="E542" s="146"/>
      <c r="F542" s="146">
        <v>6605.9000000000005</v>
      </c>
      <c r="G542" s="146"/>
      <c r="H542" s="146">
        <v>6605.9000000000005</v>
      </c>
      <c r="I542" s="146">
        <v>7318.4000000000005</v>
      </c>
      <c r="J542" s="146"/>
      <c r="K542" s="146">
        <v>7318.4000000000005</v>
      </c>
      <c r="L542" s="146">
        <f>L543+L544+L545</f>
        <v>7297.4939999999997</v>
      </c>
      <c r="M542" s="146"/>
      <c r="N542" s="146">
        <f>N543+N544+N545</f>
        <v>7297.4939999999997</v>
      </c>
    </row>
    <row r="543" spans="1:14" x14ac:dyDescent="0.25">
      <c r="A543" s="4"/>
      <c r="B543" s="7"/>
      <c r="C543" s="3" t="s">
        <v>222</v>
      </c>
      <c r="D543" s="146">
        <f>5648+0.024</f>
        <v>5648.0240000000003</v>
      </c>
      <c r="E543" s="146"/>
      <c r="F543" s="146">
        <f>5648+0.024</f>
        <v>5648.0240000000003</v>
      </c>
      <c r="G543" s="146"/>
      <c r="H543" s="146">
        <f>5648+0.024</f>
        <v>5648.0240000000003</v>
      </c>
      <c r="I543" s="146">
        <v>6257.3</v>
      </c>
      <c r="J543" s="146"/>
      <c r="K543" s="146">
        <v>6257.3</v>
      </c>
      <c r="L543" s="146">
        <f>6239.3+0.058</f>
        <v>6239.3580000000002</v>
      </c>
      <c r="M543" s="146"/>
      <c r="N543" s="146">
        <f>6239.3+0.058</f>
        <v>6239.3580000000002</v>
      </c>
    </row>
    <row r="544" spans="1:14" x14ac:dyDescent="0.25">
      <c r="A544" s="4"/>
      <c r="B544" s="7"/>
      <c r="C544" s="3" t="s">
        <v>219</v>
      </c>
      <c r="D544" s="146">
        <f>297.3-0.036</f>
        <v>297.26400000000001</v>
      </c>
      <c r="E544" s="146"/>
      <c r="F544" s="146">
        <f>297.3-0.036</f>
        <v>297.26400000000001</v>
      </c>
      <c r="G544" s="146"/>
      <c r="H544" s="146">
        <f>297.3-0.036</f>
        <v>297.26400000000001</v>
      </c>
      <c r="I544" s="146">
        <f>329.3+0.032</f>
        <v>329.33199999999999</v>
      </c>
      <c r="J544" s="146"/>
      <c r="K544" s="146">
        <f>329.3+0.032</f>
        <v>329.33199999999999</v>
      </c>
      <c r="L544" s="146">
        <f>328.4-0.013</f>
        <v>328.387</v>
      </c>
      <c r="M544" s="146"/>
      <c r="N544" s="146">
        <f>328.4-0.013</f>
        <v>328.387</v>
      </c>
    </row>
    <row r="545" spans="1:14" x14ac:dyDescent="0.25">
      <c r="A545" s="4"/>
      <c r="B545" s="7"/>
      <c r="C545" s="3" t="s">
        <v>171</v>
      </c>
      <c r="D545" s="146">
        <f>660.6-0.012</f>
        <v>660.58800000000008</v>
      </c>
      <c r="E545" s="146"/>
      <c r="F545" s="146">
        <f>660.6-0.012</f>
        <v>660.58800000000008</v>
      </c>
      <c r="G545" s="146"/>
      <c r="H545" s="146">
        <f>660.6-0.012</f>
        <v>660.58800000000008</v>
      </c>
      <c r="I545" s="146">
        <f>731.8+0.048</f>
        <v>731.84799999999996</v>
      </c>
      <c r="J545" s="146"/>
      <c r="K545" s="146">
        <f>731.8+0.048</f>
        <v>731.84799999999996</v>
      </c>
      <c r="L545" s="146">
        <f>729.7+0.049</f>
        <v>729.74900000000002</v>
      </c>
      <c r="M545" s="146"/>
      <c r="N545" s="146">
        <f>729.7+0.049</f>
        <v>729.74900000000002</v>
      </c>
    </row>
    <row r="546" spans="1:14" ht="26.25" x14ac:dyDescent="0.25">
      <c r="A546" s="36" t="s">
        <v>603</v>
      </c>
      <c r="B546" s="39"/>
      <c r="C546" s="37" t="s">
        <v>498</v>
      </c>
      <c r="D546" s="131">
        <f>D547</f>
        <v>2398.7289999999998</v>
      </c>
      <c r="E546" s="131"/>
      <c r="F546" s="131">
        <f>F547</f>
        <v>2398.7289999999998</v>
      </c>
      <c r="G546" s="131">
        <f>G547</f>
        <v>-83.699999999999989</v>
      </c>
      <c r="H546" s="131">
        <f>H547</f>
        <v>2315.029</v>
      </c>
      <c r="I546" s="131">
        <f>I547</f>
        <v>3010.7310000000002</v>
      </c>
      <c r="J546" s="131"/>
      <c r="K546" s="131">
        <f>K547</f>
        <v>3010.7310000000002</v>
      </c>
      <c r="L546" s="131">
        <f>L547</f>
        <v>2646.1779999999999</v>
      </c>
      <c r="M546" s="131"/>
      <c r="N546" s="131">
        <f>N547</f>
        <v>2646.1779999999999</v>
      </c>
    </row>
    <row r="547" spans="1:14" ht="25.5" x14ac:dyDescent="0.25">
      <c r="A547" s="4" t="s">
        <v>604</v>
      </c>
      <c r="B547" s="17"/>
      <c r="C547" s="1" t="s">
        <v>499</v>
      </c>
      <c r="D547" s="130">
        <f>D549+D550</f>
        <v>2398.7289999999998</v>
      </c>
      <c r="E547" s="130"/>
      <c r="F547" s="130">
        <f>F549+F550</f>
        <v>2398.7289999999998</v>
      </c>
      <c r="G547" s="130">
        <f>G549+G550</f>
        <v>-83.699999999999989</v>
      </c>
      <c r="H547" s="130">
        <f>H549+H550</f>
        <v>2315.029</v>
      </c>
      <c r="I547" s="130">
        <f>I549+I550</f>
        <v>3010.7310000000002</v>
      </c>
      <c r="J547" s="130"/>
      <c r="K547" s="130">
        <f>K549+K550</f>
        <v>3010.7310000000002</v>
      </c>
      <c r="L547" s="130">
        <f>L549+L550</f>
        <v>2646.1779999999999</v>
      </c>
      <c r="M547" s="130"/>
      <c r="N547" s="130">
        <f>N549+N550</f>
        <v>2646.1779999999999</v>
      </c>
    </row>
    <row r="548" spans="1:14" ht="26.25" x14ac:dyDescent="0.25">
      <c r="A548" s="4"/>
      <c r="B548" s="7" t="s">
        <v>336</v>
      </c>
      <c r="C548" s="3" t="s">
        <v>337</v>
      </c>
      <c r="D548" s="130">
        <v>2398.7289999999998</v>
      </c>
      <c r="E548" s="130"/>
      <c r="F548" s="130">
        <v>2398.7289999999998</v>
      </c>
      <c r="G548" s="130">
        <f>G550</f>
        <v>-83.699999999999989</v>
      </c>
      <c r="H548" s="130">
        <f>SUM(H550+H549)</f>
        <v>2315.029</v>
      </c>
      <c r="I548" s="130">
        <f>I549+I550</f>
        <v>3010.7310000000002</v>
      </c>
      <c r="J548" s="130"/>
      <c r="K548" s="130">
        <f>K549+K550</f>
        <v>3010.7310000000002</v>
      </c>
      <c r="L548" s="130">
        <f>L549+L550</f>
        <v>2646.1779999999999</v>
      </c>
      <c r="M548" s="130"/>
      <c r="N548" s="130">
        <f>N549+N550</f>
        <v>2646.1779999999999</v>
      </c>
    </row>
    <row r="549" spans="1:14" x14ac:dyDescent="0.25">
      <c r="A549" s="4"/>
      <c r="B549" s="7"/>
      <c r="C549" s="3" t="s">
        <v>219</v>
      </c>
      <c r="D549" s="146">
        <v>2083.529</v>
      </c>
      <c r="E549" s="146"/>
      <c r="F549" s="146">
        <v>2083.529</v>
      </c>
      <c r="G549" s="130"/>
      <c r="H549" s="146">
        <v>2083.529</v>
      </c>
      <c r="I549" s="146">
        <f>2709.8-0.029</f>
        <v>2709.7710000000002</v>
      </c>
      <c r="J549" s="146"/>
      <c r="K549" s="146">
        <f>2709.8-0.029</f>
        <v>2709.7710000000002</v>
      </c>
      <c r="L549" s="146">
        <f>2381.6-0.04</f>
        <v>2381.56</v>
      </c>
      <c r="M549" s="146"/>
      <c r="N549" s="146">
        <f>2381.6-0.04</f>
        <v>2381.56</v>
      </c>
    </row>
    <row r="550" spans="1:14" x14ac:dyDescent="0.25">
      <c r="A550" s="4"/>
      <c r="B550" s="7"/>
      <c r="C550" s="3" t="s">
        <v>171</v>
      </c>
      <c r="D550" s="146">
        <v>315.2</v>
      </c>
      <c r="E550" s="146"/>
      <c r="F550" s="146">
        <v>315.2</v>
      </c>
      <c r="G550" s="130">
        <f>-32-3.8-47.9</f>
        <v>-83.699999999999989</v>
      </c>
      <c r="H550" s="146">
        <f>SUM(F550:G550)</f>
        <v>231.5</v>
      </c>
      <c r="I550" s="146">
        <f>301.1-0.14</f>
        <v>300.96000000000004</v>
      </c>
      <c r="J550" s="146"/>
      <c r="K550" s="146">
        <f>301.1-0.14</f>
        <v>300.96000000000004</v>
      </c>
      <c r="L550" s="146">
        <f>264.6+0.018</f>
        <v>264.61799999999999</v>
      </c>
      <c r="M550" s="146"/>
      <c r="N550" s="146">
        <f>264.6+0.018</f>
        <v>264.61799999999999</v>
      </c>
    </row>
    <row r="551" spans="1:14" ht="51.75" x14ac:dyDescent="0.25">
      <c r="A551" s="32" t="s">
        <v>447</v>
      </c>
      <c r="B551" s="32"/>
      <c r="C551" s="40" t="s">
        <v>448</v>
      </c>
      <c r="D551" s="132">
        <f>D552+D560+D571</f>
        <v>20659.899999999998</v>
      </c>
      <c r="E551" s="132"/>
      <c r="F551" s="132">
        <f>F552+F560+F571</f>
        <v>21153.399999999998</v>
      </c>
      <c r="G551" s="132">
        <f t="shared" ref="G551:M551" si="53">G552+G560+G571</f>
        <v>0</v>
      </c>
      <c r="H551" s="132">
        <f t="shared" si="53"/>
        <v>21153.399999999998</v>
      </c>
      <c r="I551" s="132">
        <f t="shared" si="53"/>
        <v>21350.499999999996</v>
      </c>
      <c r="J551" s="132">
        <f t="shared" si="53"/>
        <v>0</v>
      </c>
      <c r="K551" s="132">
        <f t="shared" si="53"/>
        <v>21350.499999999996</v>
      </c>
      <c r="L551" s="132">
        <f t="shared" si="53"/>
        <v>21423.699999999997</v>
      </c>
      <c r="M551" s="132">
        <f t="shared" si="53"/>
        <v>0</v>
      </c>
      <c r="N551" s="132">
        <f>N552+N560+N571</f>
        <v>21423.699999999997</v>
      </c>
    </row>
    <row r="552" spans="1:14" ht="39" x14ac:dyDescent="0.25">
      <c r="A552" s="36" t="s">
        <v>449</v>
      </c>
      <c r="B552" s="36"/>
      <c r="C552" s="22" t="s">
        <v>450</v>
      </c>
      <c r="D552" s="131">
        <f>D553+D555+D557</f>
        <v>16118.2</v>
      </c>
      <c r="E552" s="131"/>
      <c r="F552" s="131">
        <f>F553+F555+F557</f>
        <v>16611.7</v>
      </c>
      <c r="G552" s="131">
        <f t="shared" ref="G552:M552" si="54">G553+G555+G557</f>
        <v>0</v>
      </c>
      <c r="H552" s="131">
        <f t="shared" si="54"/>
        <v>16611.7</v>
      </c>
      <c r="I552" s="131">
        <f t="shared" si="54"/>
        <v>17369.699999999997</v>
      </c>
      <c r="J552" s="131">
        <f t="shared" si="54"/>
        <v>0</v>
      </c>
      <c r="K552" s="131">
        <f t="shared" si="54"/>
        <v>17369.699999999997</v>
      </c>
      <c r="L552" s="131">
        <f t="shared" si="54"/>
        <v>17381.8</v>
      </c>
      <c r="M552" s="131">
        <f t="shared" si="54"/>
        <v>0</v>
      </c>
      <c r="N552" s="131">
        <f>N553+N555+N557</f>
        <v>17381.8</v>
      </c>
    </row>
    <row r="553" spans="1:14" x14ac:dyDescent="0.25">
      <c r="A553" s="7" t="s">
        <v>451</v>
      </c>
      <c r="B553" s="7"/>
      <c r="C553" s="1" t="s">
        <v>452</v>
      </c>
      <c r="D553" s="130">
        <v>23.9</v>
      </c>
      <c r="E553" s="130"/>
      <c r="F553" s="130">
        <v>23.9</v>
      </c>
      <c r="G553" s="130"/>
      <c r="H553" s="130">
        <v>23.9</v>
      </c>
      <c r="I553" s="130">
        <v>24.8</v>
      </c>
      <c r="J553" s="130"/>
      <c r="K553" s="130">
        <v>24.8</v>
      </c>
      <c r="L553" s="130">
        <v>25.8</v>
      </c>
      <c r="M553" s="130"/>
      <c r="N553" s="130">
        <v>25.8</v>
      </c>
    </row>
    <row r="554" spans="1:14" ht="26.25" x14ac:dyDescent="0.25">
      <c r="A554" s="7"/>
      <c r="B554" s="7" t="s">
        <v>336</v>
      </c>
      <c r="C554" s="3" t="s">
        <v>337</v>
      </c>
      <c r="D554" s="130">
        <v>23.9</v>
      </c>
      <c r="E554" s="130"/>
      <c r="F554" s="130">
        <v>23.9</v>
      </c>
      <c r="G554" s="130"/>
      <c r="H554" s="130">
        <v>23.9</v>
      </c>
      <c r="I554" s="130">
        <v>24.8</v>
      </c>
      <c r="J554" s="130"/>
      <c r="K554" s="130">
        <v>24.8</v>
      </c>
      <c r="L554" s="130">
        <v>25.8</v>
      </c>
      <c r="M554" s="130"/>
      <c r="N554" s="130">
        <v>25.8</v>
      </c>
    </row>
    <row r="555" spans="1:14" ht="51.75" x14ac:dyDescent="0.25">
      <c r="A555" s="7" t="s">
        <v>453</v>
      </c>
      <c r="B555" s="7"/>
      <c r="C555" s="9" t="s">
        <v>454</v>
      </c>
      <c r="D555" s="130">
        <v>118.1</v>
      </c>
      <c r="E555" s="130"/>
      <c r="F555" s="130">
        <v>118.1</v>
      </c>
      <c r="G555" s="130"/>
      <c r="H555" s="130">
        <v>118.1</v>
      </c>
      <c r="I555" s="130">
        <v>122.8</v>
      </c>
      <c r="J555" s="130"/>
      <c r="K555" s="130">
        <v>122.8</v>
      </c>
      <c r="L555" s="130">
        <v>127.7</v>
      </c>
      <c r="M555" s="130"/>
      <c r="N555" s="130">
        <v>127.7</v>
      </c>
    </row>
    <row r="556" spans="1:14" ht="26.25" x14ac:dyDescent="0.25">
      <c r="A556" s="7"/>
      <c r="B556" s="7" t="s">
        <v>336</v>
      </c>
      <c r="C556" s="3" t="s">
        <v>337</v>
      </c>
      <c r="D556" s="130">
        <v>118.1</v>
      </c>
      <c r="E556" s="130"/>
      <c r="F556" s="130">
        <v>118.1</v>
      </c>
      <c r="G556" s="130"/>
      <c r="H556" s="130">
        <v>118.1</v>
      </c>
      <c r="I556" s="130">
        <v>122.8</v>
      </c>
      <c r="J556" s="130"/>
      <c r="K556" s="130">
        <v>122.8</v>
      </c>
      <c r="L556" s="130">
        <v>127.7</v>
      </c>
      <c r="M556" s="130"/>
      <c r="N556" s="130">
        <v>127.7</v>
      </c>
    </row>
    <row r="557" spans="1:14" ht="26.25" x14ac:dyDescent="0.25">
      <c r="A557" s="7" t="s">
        <v>455</v>
      </c>
      <c r="B557" s="7"/>
      <c r="C557" s="68" t="s">
        <v>757</v>
      </c>
      <c r="D557" s="130">
        <f>D558+D559</f>
        <v>15976.2</v>
      </c>
      <c r="E557" s="130"/>
      <c r="F557" s="130">
        <f>F558+F559</f>
        <v>16469.7</v>
      </c>
      <c r="G557" s="130">
        <f>G558+G559</f>
        <v>0</v>
      </c>
      <c r="H557" s="130">
        <f>H558+H559</f>
        <v>16469.7</v>
      </c>
      <c r="I557" s="130">
        <f>I558+I559</f>
        <v>17222.099999999999</v>
      </c>
      <c r="J557" s="130">
        <f>J558</f>
        <v>0</v>
      </c>
      <c r="K557" s="130">
        <f>K558+K559</f>
        <v>17222.099999999999</v>
      </c>
      <c r="L557" s="130">
        <f>L558+L559</f>
        <v>17228.3</v>
      </c>
      <c r="M557" s="130">
        <f>M558</f>
        <v>0</v>
      </c>
      <c r="N557" s="130">
        <f>N558+N559</f>
        <v>17228.3</v>
      </c>
    </row>
    <row r="558" spans="1:14" ht="51.75" x14ac:dyDescent="0.25">
      <c r="A558" s="7"/>
      <c r="B558" s="7" t="s">
        <v>505</v>
      </c>
      <c r="C558" s="3" t="s">
        <v>506</v>
      </c>
      <c r="D558" s="145">
        <v>14606.2</v>
      </c>
      <c r="E558" s="145"/>
      <c r="F558" s="145">
        <v>15043.2</v>
      </c>
      <c r="G558" s="145"/>
      <c r="H558" s="145">
        <f>SUM(F558:G558)</f>
        <v>15043.2</v>
      </c>
      <c r="I558" s="145">
        <v>15846.199999999999</v>
      </c>
      <c r="J558" s="145"/>
      <c r="K558" s="145">
        <f>SUM(I558:J558)</f>
        <v>15846.199999999999</v>
      </c>
      <c r="L558" s="145">
        <v>15846.199999999999</v>
      </c>
      <c r="M558" s="145"/>
      <c r="N558" s="145">
        <f>SUM(L558:M558)</f>
        <v>15846.199999999999</v>
      </c>
    </row>
    <row r="559" spans="1:14" ht="26.25" x14ac:dyDescent="0.25">
      <c r="A559" s="7"/>
      <c r="B559" s="7" t="s">
        <v>336</v>
      </c>
      <c r="C559" s="3" t="s">
        <v>337</v>
      </c>
      <c r="D559" s="130">
        <v>1370</v>
      </c>
      <c r="E559" s="130"/>
      <c r="F559" s="130">
        <v>1426.5</v>
      </c>
      <c r="G559" s="130"/>
      <c r="H559" s="130">
        <f>SUM(F559:G559)</f>
        <v>1426.5</v>
      </c>
      <c r="I559" s="130">
        <v>1375.9</v>
      </c>
      <c r="J559" s="130"/>
      <c r="K559" s="130">
        <v>1375.9</v>
      </c>
      <c r="L559" s="130">
        <v>1382.1</v>
      </c>
      <c r="M559" s="130"/>
      <c r="N559" s="130">
        <v>1382.1</v>
      </c>
    </row>
    <row r="560" spans="1:14" ht="26.25" x14ac:dyDescent="0.25">
      <c r="A560" s="36" t="s">
        <v>456</v>
      </c>
      <c r="B560" s="36"/>
      <c r="C560" s="22" t="s">
        <v>457</v>
      </c>
      <c r="D560" s="131">
        <f>D561+D563+D565+D569+D567</f>
        <v>4414.3999999999996</v>
      </c>
      <c r="E560" s="131"/>
      <c r="F560" s="131">
        <f>F561+F563+F565+F569+F567</f>
        <v>4414.3999999999996</v>
      </c>
      <c r="G560" s="131"/>
      <c r="H560" s="131">
        <f>H561+H563+H565+H569+H567</f>
        <v>4414.3999999999996</v>
      </c>
      <c r="I560" s="131">
        <f>I561+I563+I565+I569+I567</f>
        <v>3980.8</v>
      </c>
      <c r="J560" s="131"/>
      <c r="K560" s="131">
        <f>K561+K563+K565+K569+K567</f>
        <v>3980.8</v>
      </c>
      <c r="L560" s="131">
        <f>L561+L563+L565+L569+L567</f>
        <v>4041.8999999999996</v>
      </c>
      <c r="M560" s="131"/>
      <c r="N560" s="131">
        <f>N561+N563+N565+N569+N567</f>
        <v>4041.8999999999996</v>
      </c>
    </row>
    <row r="561" spans="1:14" ht="26.25" x14ac:dyDescent="0.25">
      <c r="A561" s="7" t="s">
        <v>458</v>
      </c>
      <c r="B561" s="7"/>
      <c r="C561" s="62" t="s">
        <v>459</v>
      </c>
      <c r="D561" s="130">
        <f>D562</f>
        <v>732.6</v>
      </c>
      <c r="E561" s="130"/>
      <c r="F561" s="130">
        <f>F562</f>
        <v>732.6</v>
      </c>
      <c r="G561" s="130"/>
      <c r="H561" s="130">
        <f>H562</f>
        <v>732.6</v>
      </c>
      <c r="I561" s="130">
        <f>I562</f>
        <v>1410.6000000000001</v>
      </c>
      <c r="J561" s="130"/>
      <c r="K561" s="130">
        <f>K562</f>
        <v>1410.6000000000001</v>
      </c>
      <c r="L561" s="130">
        <f>L562</f>
        <v>1419</v>
      </c>
      <c r="M561" s="130"/>
      <c r="N561" s="130">
        <f>N562</f>
        <v>1419</v>
      </c>
    </row>
    <row r="562" spans="1:14" ht="26.25" x14ac:dyDescent="0.25">
      <c r="A562" s="7"/>
      <c r="B562" s="7" t="s">
        <v>336</v>
      </c>
      <c r="C562" s="3" t="s">
        <v>337</v>
      </c>
      <c r="D562" s="130">
        <v>732.6</v>
      </c>
      <c r="E562" s="130"/>
      <c r="F562" s="130">
        <v>732.6</v>
      </c>
      <c r="G562" s="130"/>
      <c r="H562" s="130">
        <v>732.6</v>
      </c>
      <c r="I562" s="130">
        <f>1454.7-44.1</f>
        <v>1410.6000000000001</v>
      </c>
      <c r="J562" s="130"/>
      <c r="K562" s="130">
        <f>1454.7-44.1</f>
        <v>1410.6000000000001</v>
      </c>
      <c r="L562" s="130">
        <f>1464.9-45.9</f>
        <v>1419</v>
      </c>
      <c r="M562" s="130"/>
      <c r="N562" s="130">
        <f>1464.9-45.9</f>
        <v>1419</v>
      </c>
    </row>
    <row r="563" spans="1:14" ht="26.25" x14ac:dyDescent="0.25">
      <c r="A563" s="7" t="s">
        <v>460</v>
      </c>
      <c r="B563" s="7"/>
      <c r="C563" s="9" t="s">
        <v>461</v>
      </c>
      <c r="D563" s="130">
        <v>1438.4</v>
      </c>
      <c r="E563" s="130"/>
      <c r="F563" s="130">
        <v>1438.4</v>
      </c>
      <c r="G563" s="130"/>
      <c r="H563" s="130">
        <v>1438.4</v>
      </c>
      <c r="I563" s="130">
        <v>1355.9</v>
      </c>
      <c r="J563" s="130"/>
      <c r="K563" s="130">
        <v>1355.9</v>
      </c>
      <c r="L563" s="130">
        <v>1360.1</v>
      </c>
      <c r="M563" s="130"/>
      <c r="N563" s="130">
        <v>1360.1</v>
      </c>
    </row>
    <row r="564" spans="1:14" ht="26.25" x14ac:dyDescent="0.25">
      <c r="A564" s="7"/>
      <c r="B564" s="7" t="s">
        <v>336</v>
      </c>
      <c r="C564" s="3" t="s">
        <v>337</v>
      </c>
      <c r="D564" s="130">
        <v>1438.4</v>
      </c>
      <c r="E564" s="130"/>
      <c r="F564" s="130">
        <v>1438.4</v>
      </c>
      <c r="G564" s="130"/>
      <c r="H564" s="130">
        <v>1438.4</v>
      </c>
      <c r="I564" s="130">
        <v>1355.9</v>
      </c>
      <c r="J564" s="130"/>
      <c r="K564" s="130">
        <v>1355.9</v>
      </c>
      <c r="L564" s="130">
        <v>1360.1</v>
      </c>
      <c r="M564" s="130"/>
      <c r="N564" s="130">
        <v>1360.1</v>
      </c>
    </row>
    <row r="565" spans="1:14" ht="26.25" x14ac:dyDescent="0.25">
      <c r="A565" s="7" t="s">
        <v>462</v>
      </c>
      <c r="B565" s="7"/>
      <c r="C565" s="68" t="s">
        <v>463</v>
      </c>
      <c r="D565" s="130">
        <f>D566</f>
        <v>0</v>
      </c>
      <c r="E565" s="130"/>
      <c r="F565" s="130">
        <f>F566</f>
        <v>0</v>
      </c>
      <c r="G565" s="130"/>
      <c r="H565" s="130">
        <f>H566</f>
        <v>0</v>
      </c>
      <c r="I565" s="130">
        <f>I566</f>
        <v>0</v>
      </c>
      <c r="J565" s="130"/>
      <c r="K565" s="130">
        <f>K566</f>
        <v>0</v>
      </c>
      <c r="L565" s="130">
        <f>L566</f>
        <v>0</v>
      </c>
      <c r="M565" s="130"/>
      <c r="N565" s="130">
        <f>N566</f>
        <v>0</v>
      </c>
    </row>
    <row r="566" spans="1:14" ht="26.25" x14ac:dyDescent="0.25">
      <c r="A566" s="7"/>
      <c r="B566" s="7" t="s">
        <v>336</v>
      </c>
      <c r="C566" s="3" t="s">
        <v>337</v>
      </c>
      <c r="D566" s="146">
        <v>0</v>
      </c>
      <c r="E566" s="146"/>
      <c r="F566" s="146">
        <v>0</v>
      </c>
      <c r="G566" s="146"/>
      <c r="H566" s="146">
        <v>0</v>
      </c>
      <c r="I566" s="146">
        <v>0</v>
      </c>
      <c r="J566" s="146"/>
      <c r="K566" s="146">
        <v>0</v>
      </c>
      <c r="L566" s="146">
        <v>0</v>
      </c>
      <c r="M566" s="146"/>
      <c r="N566" s="146">
        <v>0</v>
      </c>
    </row>
    <row r="567" spans="1:14" ht="26.25" x14ac:dyDescent="0.25">
      <c r="A567" s="7" t="s">
        <v>464</v>
      </c>
      <c r="B567" s="7"/>
      <c r="C567" s="3" t="s">
        <v>465</v>
      </c>
      <c r="D567" s="130">
        <v>1613.7</v>
      </c>
      <c r="E567" s="130"/>
      <c r="F567" s="130">
        <v>1613.7</v>
      </c>
      <c r="G567" s="130"/>
      <c r="H567" s="130">
        <v>1613.7</v>
      </c>
      <c r="I567" s="130">
        <v>559.4</v>
      </c>
      <c r="J567" s="130"/>
      <c r="K567" s="130">
        <v>559.4</v>
      </c>
      <c r="L567" s="130">
        <v>581.79999999999995</v>
      </c>
      <c r="M567" s="130"/>
      <c r="N567" s="130">
        <v>581.79999999999995</v>
      </c>
    </row>
    <row r="568" spans="1:14" ht="26.25" x14ac:dyDescent="0.25">
      <c r="A568" s="7"/>
      <c r="B568" s="7" t="s">
        <v>336</v>
      </c>
      <c r="C568" s="3" t="s">
        <v>337</v>
      </c>
      <c r="D568" s="130">
        <v>1613.7</v>
      </c>
      <c r="E568" s="130"/>
      <c r="F568" s="130">
        <v>1613.7</v>
      </c>
      <c r="G568" s="130"/>
      <c r="H568" s="130">
        <v>1613.7</v>
      </c>
      <c r="I568" s="130">
        <v>559.4</v>
      </c>
      <c r="J568" s="130"/>
      <c r="K568" s="130">
        <v>559.4</v>
      </c>
      <c r="L568" s="130">
        <v>581.79999999999995</v>
      </c>
      <c r="M568" s="130"/>
      <c r="N568" s="130">
        <v>581.79999999999995</v>
      </c>
    </row>
    <row r="569" spans="1:14" ht="26.25" x14ac:dyDescent="0.25">
      <c r="A569" s="7" t="s">
        <v>466</v>
      </c>
      <c r="B569" s="7"/>
      <c r="C569" s="79" t="s">
        <v>605</v>
      </c>
      <c r="D569" s="130">
        <v>629.70000000000005</v>
      </c>
      <c r="E569" s="130"/>
      <c r="F569" s="130">
        <v>629.70000000000005</v>
      </c>
      <c r="G569" s="130"/>
      <c r="H569" s="130">
        <v>629.70000000000005</v>
      </c>
      <c r="I569" s="130">
        <v>654.9</v>
      </c>
      <c r="J569" s="130"/>
      <c r="K569" s="130">
        <v>654.9</v>
      </c>
      <c r="L569" s="130">
        <v>681</v>
      </c>
      <c r="M569" s="130"/>
      <c r="N569" s="130">
        <v>681</v>
      </c>
    </row>
    <row r="570" spans="1:14" ht="26.25" x14ac:dyDescent="0.25">
      <c r="A570" s="7"/>
      <c r="B570" s="7" t="s">
        <v>336</v>
      </c>
      <c r="C570" s="3" t="s">
        <v>337</v>
      </c>
      <c r="D570" s="130">
        <v>629.70000000000005</v>
      </c>
      <c r="E570" s="130"/>
      <c r="F570" s="130">
        <v>629.70000000000005</v>
      </c>
      <c r="G570" s="130"/>
      <c r="H570" s="130">
        <v>629.70000000000005</v>
      </c>
      <c r="I570" s="130">
        <v>654.9</v>
      </c>
      <c r="J570" s="130"/>
      <c r="K570" s="130">
        <v>654.9</v>
      </c>
      <c r="L570" s="130">
        <v>681</v>
      </c>
      <c r="M570" s="130"/>
      <c r="N570" s="130">
        <v>681</v>
      </c>
    </row>
    <row r="571" spans="1:14" ht="26.25" x14ac:dyDescent="0.25">
      <c r="A571" s="36" t="s">
        <v>467</v>
      </c>
      <c r="B571" s="36"/>
      <c r="C571" s="22" t="s">
        <v>468</v>
      </c>
      <c r="D571" s="131">
        <f>D572</f>
        <v>127.3</v>
      </c>
      <c r="E571" s="131"/>
      <c r="F571" s="131">
        <f>F572</f>
        <v>127.3</v>
      </c>
      <c r="G571" s="131"/>
      <c r="H571" s="131">
        <f>H572</f>
        <v>127.3</v>
      </c>
      <c r="I571" s="131">
        <f>I572</f>
        <v>0</v>
      </c>
      <c r="J571" s="131"/>
      <c r="K571" s="131">
        <f>K572</f>
        <v>0</v>
      </c>
      <c r="L571" s="131">
        <f>L572</f>
        <v>0</v>
      </c>
      <c r="M571" s="131"/>
      <c r="N571" s="131">
        <f>N572</f>
        <v>0</v>
      </c>
    </row>
    <row r="572" spans="1:14" x14ac:dyDescent="0.25">
      <c r="A572" s="7" t="s">
        <v>469</v>
      </c>
      <c r="B572" s="7"/>
      <c r="C572" s="68" t="s">
        <v>753</v>
      </c>
      <c r="D572" s="130">
        <v>127.3</v>
      </c>
      <c r="E572" s="130"/>
      <c r="F572" s="130">
        <v>127.3</v>
      </c>
      <c r="G572" s="130"/>
      <c r="H572" s="130">
        <v>127.3</v>
      </c>
      <c r="I572" s="130">
        <v>0</v>
      </c>
      <c r="J572" s="130"/>
      <c r="K572" s="130">
        <v>0</v>
      </c>
      <c r="L572" s="130">
        <v>0</v>
      </c>
      <c r="M572" s="130"/>
      <c r="N572" s="130">
        <v>0</v>
      </c>
    </row>
    <row r="573" spans="1:14" ht="26.25" x14ac:dyDescent="0.25">
      <c r="A573" s="7"/>
      <c r="B573" s="7" t="s">
        <v>336</v>
      </c>
      <c r="C573" s="3" t="s">
        <v>337</v>
      </c>
      <c r="D573" s="130">
        <v>127.3</v>
      </c>
      <c r="E573" s="130"/>
      <c r="F573" s="130">
        <v>127.3</v>
      </c>
      <c r="G573" s="130"/>
      <c r="H573" s="130">
        <v>127.3</v>
      </c>
      <c r="I573" s="130">
        <v>0</v>
      </c>
      <c r="J573" s="130"/>
      <c r="K573" s="130">
        <v>0</v>
      </c>
      <c r="L573" s="130">
        <v>0</v>
      </c>
      <c r="M573" s="130"/>
      <c r="N573" s="130">
        <v>0</v>
      </c>
    </row>
    <row r="574" spans="1:14" ht="39" x14ac:dyDescent="0.25">
      <c r="A574" s="32" t="s">
        <v>470</v>
      </c>
      <c r="B574" s="32"/>
      <c r="C574" s="40" t="s">
        <v>471</v>
      </c>
      <c r="D574" s="132">
        <f>D575</f>
        <v>0</v>
      </c>
      <c r="E574" s="132"/>
      <c r="F574" s="132">
        <f>F575</f>
        <v>0</v>
      </c>
      <c r="G574" s="132"/>
      <c r="H574" s="132">
        <f>H575</f>
        <v>0</v>
      </c>
      <c r="I574" s="132">
        <f>I575</f>
        <v>0</v>
      </c>
      <c r="J574" s="132"/>
      <c r="K574" s="132">
        <f>K575</f>
        <v>0</v>
      </c>
      <c r="L574" s="132">
        <f>L575</f>
        <v>11652.8</v>
      </c>
      <c r="M574" s="132"/>
      <c r="N574" s="132">
        <f>N575</f>
        <v>11652.8</v>
      </c>
    </row>
    <row r="575" spans="1:14" ht="39" x14ac:dyDescent="0.25">
      <c r="A575" s="34" t="s">
        <v>472</v>
      </c>
      <c r="B575" s="50"/>
      <c r="C575" s="35" t="s">
        <v>473</v>
      </c>
      <c r="D575" s="139">
        <f t="shared" ref="D575:N576" si="55">D576</f>
        <v>0</v>
      </c>
      <c r="E575" s="139"/>
      <c r="F575" s="139">
        <f t="shared" si="55"/>
        <v>0</v>
      </c>
      <c r="G575" s="139"/>
      <c r="H575" s="139">
        <f t="shared" si="55"/>
        <v>0</v>
      </c>
      <c r="I575" s="139">
        <f t="shared" si="55"/>
        <v>0</v>
      </c>
      <c r="J575" s="139"/>
      <c r="K575" s="139">
        <f t="shared" si="55"/>
        <v>0</v>
      </c>
      <c r="L575" s="139">
        <f t="shared" si="55"/>
        <v>11652.8</v>
      </c>
      <c r="M575" s="139"/>
      <c r="N575" s="139">
        <f t="shared" si="55"/>
        <v>11652.8</v>
      </c>
    </row>
    <row r="576" spans="1:14" ht="39" x14ac:dyDescent="0.25">
      <c r="A576" s="36" t="s">
        <v>607</v>
      </c>
      <c r="B576" s="39"/>
      <c r="C576" s="37" t="s">
        <v>474</v>
      </c>
      <c r="D576" s="151">
        <f t="shared" si="55"/>
        <v>0</v>
      </c>
      <c r="E576" s="151"/>
      <c r="F576" s="151">
        <f t="shared" si="55"/>
        <v>0</v>
      </c>
      <c r="G576" s="151"/>
      <c r="H576" s="151">
        <f t="shared" si="55"/>
        <v>0</v>
      </c>
      <c r="I576" s="151">
        <f t="shared" si="55"/>
        <v>0</v>
      </c>
      <c r="J576" s="151"/>
      <c r="K576" s="151">
        <f t="shared" si="55"/>
        <v>0</v>
      </c>
      <c r="L576" s="151">
        <f>L577</f>
        <v>11652.8</v>
      </c>
      <c r="M576" s="151"/>
      <c r="N576" s="151">
        <f>N577</f>
        <v>11652.8</v>
      </c>
    </row>
    <row r="577" spans="1:14" ht="39" x14ac:dyDescent="0.25">
      <c r="A577" s="7" t="s">
        <v>606</v>
      </c>
      <c r="B577" s="7"/>
      <c r="C577" s="3" t="s">
        <v>475</v>
      </c>
      <c r="D577" s="130">
        <v>0</v>
      </c>
      <c r="E577" s="130"/>
      <c r="F577" s="130">
        <v>0</v>
      </c>
      <c r="G577" s="130"/>
      <c r="H577" s="130">
        <v>0</v>
      </c>
      <c r="I577" s="130">
        <v>0</v>
      </c>
      <c r="J577" s="130"/>
      <c r="K577" s="130">
        <v>0</v>
      </c>
      <c r="L577" s="130">
        <v>11652.8</v>
      </c>
      <c r="M577" s="130"/>
      <c r="N577" s="130">
        <v>11652.8</v>
      </c>
    </row>
    <row r="578" spans="1:14" x14ac:dyDescent="0.25">
      <c r="A578" s="7"/>
      <c r="B578" s="7" t="s">
        <v>534</v>
      </c>
      <c r="C578" s="3" t="s">
        <v>535</v>
      </c>
      <c r="D578" s="130"/>
      <c r="E578" s="130"/>
      <c r="F578" s="130">
        <v>0</v>
      </c>
      <c r="G578" s="130"/>
      <c r="H578" s="130">
        <v>0</v>
      </c>
      <c r="I578" s="130">
        <v>0</v>
      </c>
      <c r="J578" s="130"/>
      <c r="K578" s="130">
        <v>0</v>
      </c>
      <c r="L578" s="130">
        <v>2693.1</v>
      </c>
      <c r="M578" s="130"/>
      <c r="N578" s="130">
        <v>2693.1</v>
      </c>
    </row>
    <row r="579" spans="1:14" x14ac:dyDescent="0.25">
      <c r="A579" s="7"/>
      <c r="B579" s="7"/>
      <c r="C579" s="10" t="s">
        <v>120</v>
      </c>
      <c r="D579" s="130"/>
      <c r="E579" s="130"/>
      <c r="F579" s="130">
        <v>0</v>
      </c>
      <c r="G579" s="130"/>
      <c r="H579" s="130">
        <v>0</v>
      </c>
      <c r="I579" s="130">
        <v>0</v>
      </c>
      <c r="J579" s="130"/>
      <c r="K579" s="130">
        <v>0</v>
      </c>
      <c r="L579" s="130">
        <v>2693.1</v>
      </c>
      <c r="M579" s="130"/>
      <c r="N579" s="130">
        <v>2693.1</v>
      </c>
    </row>
    <row r="580" spans="1:14" ht="26.25" x14ac:dyDescent="0.25">
      <c r="A580" s="7"/>
      <c r="B580" s="24" t="s">
        <v>362</v>
      </c>
      <c r="C580" s="3" t="s">
        <v>363</v>
      </c>
      <c r="D580" s="130"/>
      <c r="E580" s="130"/>
      <c r="F580" s="130">
        <v>0</v>
      </c>
      <c r="G580" s="130"/>
      <c r="H580" s="130">
        <v>0</v>
      </c>
      <c r="I580" s="130">
        <v>0</v>
      </c>
      <c r="J580" s="130"/>
      <c r="K580" s="130">
        <v>0</v>
      </c>
      <c r="L580" s="130">
        <v>8959.7000000000007</v>
      </c>
      <c r="M580" s="130"/>
      <c r="N580" s="130">
        <v>8959.7000000000007</v>
      </c>
    </row>
    <row r="581" spans="1:14" x14ac:dyDescent="0.25">
      <c r="A581" s="7"/>
      <c r="B581" s="7"/>
      <c r="C581" s="10" t="s">
        <v>120</v>
      </c>
      <c r="D581" s="130">
        <v>0</v>
      </c>
      <c r="E581" s="130"/>
      <c r="F581" s="130">
        <v>0</v>
      </c>
      <c r="G581" s="130"/>
      <c r="H581" s="130">
        <v>0</v>
      </c>
      <c r="I581" s="130">
        <v>0</v>
      </c>
      <c r="J581" s="130"/>
      <c r="K581" s="130">
        <v>0</v>
      </c>
      <c r="L581" s="130">
        <v>8959.7000000000007</v>
      </c>
      <c r="M581" s="130"/>
      <c r="N581" s="130">
        <v>8959.7000000000007</v>
      </c>
    </row>
    <row r="582" spans="1:14" ht="39" x14ac:dyDescent="0.25">
      <c r="A582" s="32" t="s">
        <v>476</v>
      </c>
      <c r="B582" s="69"/>
      <c r="C582" s="40" t="s">
        <v>818</v>
      </c>
      <c r="D582" s="132">
        <f t="shared" ref="D582:L582" si="56">D583+D596</f>
        <v>4437.0619999999999</v>
      </c>
      <c r="E582" s="132">
        <f t="shared" si="56"/>
        <v>90.5</v>
      </c>
      <c r="F582" s="132">
        <f t="shared" si="56"/>
        <v>4005.962</v>
      </c>
      <c r="G582" s="132">
        <f t="shared" si="56"/>
        <v>0</v>
      </c>
      <c r="H582" s="132">
        <f t="shared" si="56"/>
        <v>4005.962</v>
      </c>
      <c r="I582" s="132">
        <f t="shared" si="56"/>
        <v>1375</v>
      </c>
      <c r="J582" s="132"/>
      <c r="K582" s="132">
        <f>K583+K596</f>
        <v>1375</v>
      </c>
      <c r="L582" s="132">
        <f t="shared" si="56"/>
        <v>1118</v>
      </c>
      <c r="M582" s="132"/>
      <c r="N582" s="132">
        <f>N583+N596</f>
        <v>1118</v>
      </c>
    </row>
    <row r="583" spans="1:14" x14ac:dyDescent="0.25">
      <c r="A583" s="36" t="s">
        <v>478</v>
      </c>
      <c r="B583" s="39"/>
      <c r="C583" s="37" t="s">
        <v>479</v>
      </c>
      <c r="D583" s="131">
        <f>D584+D591+D586+D595</f>
        <v>4437.0619999999999</v>
      </c>
      <c r="E583" s="131"/>
      <c r="F583" s="131">
        <f>F584+F591+F586+F595</f>
        <v>3715.462</v>
      </c>
      <c r="G583" s="131">
        <f>G584+G591+G586+G595</f>
        <v>0</v>
      </c>
      <c r="H583" s="131">
        <f>H584+H591+H586+H595</f>
        <v>3715.462</v>
      </c>
      <c r="I583" s="131">
        <f>I584+I591+I586+I587+I595</f>
        <v>1075</v>
      </c>
      <c r="J583" s="131"/>
      <c r="K583" s="131">
        <f>K584+K591+K586+K587+K595</f>
        <v>1075</v>
      </c>
      <c r="L583" s="131">
        <f>L584+L591+L586+L587+L595</f>
        <v>1118</v>
      </c>
      <c r="M583" s="131"/>
      <c r="N583" s="131">
        <f>N584+N591+N586+N587+N595</f>
        <v>1118</v>
      </c>
    </row>
    <row r="584" spans="1:14" x14ac:dyDescent="0.25">
      <c r="A584" s="7" t="s">
        <v>480</v>
      </c>
      <c r="B584" s="7"/>
      <c r="C584" s="3" t="s">
        <v>481</v>
      </c>
      <c r="D584" s="130">
        <v>537.20000000000005</v>
      </c>
      <c r="E584" s="130"/>
      <c r="F584" s="130">
        <f>F585</f>
        <v>404.4</v>
      </c>
      <c r="G584" s="130"/>
      <c r="H584" s="130">
        <f>H585</f>
        <v>404.40000000000003</v>
      </c>
      <c r="I584" s="130">
        <v>559</v>
      </c>
      <c r="J584" s="130"/>
      <c r="K584" s="130">
        <v>559</v>
      </c>
      <c r="L584" s="130">
        <v>581</v>
      </c>
      <c r="M584" s="130"/>
      <c r="N584" s="130">
        <v>581</v>
      </c>
    </row>
    <row r="585" spans="1:14" ht="26.25" x14ac:dyDescent="0.25">
      <c r="A585" s="7"/>
      <c r="B585" s="7" t="s">
        <v>336</v>
      </c>
      <c r="C585" s="3" t="s">
        <v>337</v>
      </c>
      <c r="D585" s="130">
        <v>537.20000000000005</v>
      </c>
      <c r="E585" s="130"/>
      <c r="F585" s="130">
        <v>404.4</v>
      </c>
      <c r="G585" s="130"/>
      <c r="H585" s="130">
        <f>537.2-132.8</f>
        <v>404.40000000000003</v>
      </c>
      <c r="I585" s="130">
        <v>559</v>
      </c>
      <c r="J585" s="130"/>
      <c r="K585" s="130">
        <v>559</v>
      </c>
      <c r="L585" s="130">
        <v>581</v>
      </c>
      <c r="M585" s="130"/>
      <c r="N585" s="130">
        <v>581</v>
      </c>
    </row>
    <row r="586" spans="1:14" x14ac:dyDescent="0.25">
      <c r="A586" s="7" t="s">
        <v>482</v>
      </c>
      <c r="B586" s="7"/>
      <c r="C586" s="3" t="s">
        <v>483</v>
      </c>
      <c r="D586" s="130">
        <f>D587</f>
        <v>588.79999999999995</v>
      </c>
      <c r="E586" s="130"/>
      <c r="F586" s="130">
        <f>F587</f>
        <v>0</v>
      </c>
      <c r="G586" s="130"/>
      <c r="H586" s="130">
        <f>H587</f>
        <v>0</v>
      </c>
      <c r="I586" s="130">
        <v>0</v>
      </c>
      <c r="J586" s="130"/>
      <c r="K586" s="130">
        <v>0</v>
      </c>
      <c r="L586" s="130">
        <v>0</v>
      </c>
      <c r="M586" s="130"/>
      <c r="N586" s="130">
        <v>0</v>
      </c>
    </row>
    <row r="587" spans="1:14" ht="26.25" x14ac:dyDescent="0.25">
      <c r="A587" s="7"/>
      <c r="B587" s="7" t="s">
        <v>336</v>
      </c>
      <c r="C587" s="3" t="s">
        <v>337</v>
      </c>
      <c r="D587" s="130">
        <f>D588+D589+D590</f>
        <v>588.79999999999995</v>
      </c>
      <c r="E587" s="130"/>
      <c r="F587" s="130">
        <f>F588+F589+F590</f>
        <v>0</v>
      </c>
      <c r="G587" s="130"/>
      <c r="H587" s="130">
        <f>H588+H589+H590</f>
        <v>0</v>
      </c>
      <c r="I587" s="130">
        <f>I588+I589+I590</f>
        <v>0</v>
      </c>
      <c r="J587" s="130"/>
      <c r="K587" s="130">
        <f>K588+K589+K590</f>
        <v>0</v>
      </c>
      <c r="L587" s="130">
        <f>L588+L589+L590</f>
        <v>0</v>
      </c>
      <c r="M587" s="130"/>
      <c r="N587" s="130">
        <f>N588+N589+N590</f>
        <v>0</v>
      </c>
    </row>
    <row r="588" spans="1:14" x14ac:dyDescent="0.25">
      <c r="A588" s="7"/>
      <c r="B588" s="7"/>
      <c r="C588" s="10" t="s">
        <v>484</v>
      </c>
      <c r="D588" s="130"/>
      <c r="E588" s="130"/>
      <c r="F588" s="130"/>
      <c r="G588" s="130"/>
      <c r="H588" s="130">
        <v>0</v>
      </c>
      <c r="I588" s="130"/>
      <c r="J588" s="130"/>
      <c r="K588" s="130">
        <v>0</v>
      </c>
      <c r="L588" s="130"/>
      <c r="M588" s="130"/>
      <c r="N588" s="130">
        <v>0</v>
      </c>
    </row>
    <row r="589" spans="1:14" x14ac:dyDescent="0.25">
      <c r="A589" s="7"/>
      <c r="B589" s="7"/>
      <c r="C589" s="10" t="s">
        <v>250</v>
      </c>
      <c r="D589" s="130"/>
      <c r="E589" s="130"/>
      <c r="F589" s="130"/>
      <c r="G589" s="130"/>
      <c r="H589" s="130">
        <v>0</v>
      </c>
      <c r="I589" s="130"/>
      <c r="J589" s="130"/>
      <c r="K589" s="130">
        <v>0</v>
      </c>
      <c r="L589" s="130"/>
      <c r="M589" s="130"/>
      <c r="N589" s="130">
        <v>0</v>
      </c>
    </row>
    <row r="590" spans="1:14" x14ac:dyDescent="0.25">
      <c r="A590" s="7"/>
      <c r="B590" s="7"/>
      <c r="C590" s="3" t="s">
        <v>485</v>
      </c>
      <c r="D590" s="130">
        <v>588.79999999999995</v>
      </c>
      <c r="E590" s="130"/>
      <c r="F590" s="130">
        <v>0</v>
      </c>
      <c r="G590" s="146"/>
      <c r="H590" s="130">
        <v>0</v>
      </c>
      <c r="I590" s="130"/>
      <c r="J590" s="130"/>
      <c r="K590" s="130">
        <v>0</v>
      </c>
      <c r="L590" s="130"/>
      <c r="M590" s="130"/>
      <c r="N590" s="130">
        <v>0</v>
      </c>
    </row>
    <row r="591" spans="1:14" ht="25.5" x14ac:dyDescent="0.25">
      <c r="A591" s="7" t="s">
        <v>486</v>
      </c>
      <c r="B591" s="7"/>
      <c r="C591" s="1" t="s">
        <v>754</v>
      </c>
      <c r="D591" s="130">
        <f>D592</f>
        <v>3311.0619999999999</v>
      </c>
      <c r="E591" s="130"/>
      <c r="F591" s="130">
        <f>F592</f>
        <v>3311.0619999999999</v>
      </c>
      <c r="G591" s="130"/>
      <c r="H591" s="130">
        <f>H592</f>
        <v>3311.0619999999999</v>
      </c>
      <c r="I591" s="130">
        <f>I593+I594</f>
        <v>516</v>
      </c>
      <c r="J591" s="130"/>
      <c r="K591" s="130">
        <f>K593+K594</f>
        <v>516</v>
      </c>
      <c r="L591" s="130">
        <f>L593+L594</f>
        <v>537</v>
      </c>
      <c r="M591" s="130"/>
      <c r="N591" s="130">
        <f>N593+N594</f>
        <v>537</v>
      </c>
    </row>
    <row r="592" spans="1:14" ht="26.25" x14ac:dyDescent="0.25">
      <c r="A592" s="7"/>
      <c r="B592" s="7" t="s">
        <v>336</v>
      </c>
      <c r="C592" s="3" t="s">
        <v>337</v>
      </c>
      <c r="D592" s="130">
        <f>D593+D594</f>
        <v>3311.0619999999999</v>
      </c>
      <c r="E592" s="130"/>
      <c r="F592" s="130">
        <f>F593+F594</f>
        <v>3311.0619999999999</v>
      </c>
      <c r="G592" s="130"/>
      <c r="H592" s="130">
        <f>H593+H594</f>
        <v>3311.0619999999999</v>
      </c>
      <c r="I592" s="130">
        <v>516</v>
      </c>
      <c r="J592" s="130"/>
      <c r="K592" s="130">
        <v>516</v>
      </c>
      <c r="L592" s="130">
        <v>537</v>
      </c>
      <c r="M592" s="130"/>
      <c r="N592" s="130">
        <v>537</v>
      </c>
    </row>
    <row r="593" spans="1:14" x14ac:dyDescent="0.25">
      <c r="A593" s="7"/>
      <c r="B593" s="7"/>
      <c r="C593" s="10" t="s">
        <v>250</v>
      </c>
      <c r="D593" s="130">
        <v>2814.4029999999998</v>
      </c>
      <c r="E593" s="130"/>
      <c r="F593" s="130">
        <v>2814.4029999999998</v>
      </c>
      <c r="G593" s="130"/>
      <c r="H593" s="130">
        <v>2814.4029999999998</v>
      </c>
      <c r="I593" s="130"/>
      <c r="J593" s="130"/>
      <c r="K593" s="130"/>
      <c r="L593" s="130"/>
      <c r="M593" s="130"/>
      <c r="N593" s="130"/>
    </row>
    <row r="594" spans="1:14" x14ac:dyDescent="0.25">
      <c r="A594" s="7"/>
      <c r="B594" s="7"/>
      <c r="C594" s="3" t="s">
        <v>485</v>
      </c>
      <c r="D594" s="130">
        <v>496.65899999999999</v>
      </c>
      <c r="E594" s="130"/>
      <c r="F594" s="130">
        <v>496.65899999999999</v>
      </c>
      <c r="G594" s="130"/>
      <c r="H594" s="130">
        <v>496.65899999999999</v>
      </c>
      <c r="I594" s="130">
        <v>516</v>
      </c>
      <c r="J594" s="130"/>
      <c r="K594" s="130">
        <v>516</v>
      </c>
      <c r="L594" s="130">
        <v>537</v>
      </c>
      <c r="M594" s="130"/>
      <c r="N594" s="130">
        <v>537</v>
      </c>
    </row>
    <row r="595" spans="1:14" ht="51.75" x14ac:dyDescent="0.25">
      <c r="A595" s="7" t="s">
        <v>487</v>
      </c>
      <c r="B595" s="7"/>
      <c r="C595" s="3" t="s">
        <v>488</v>
      </c>
      <c r="D595" s="130">
        <v>0</v>
      </c>
      <c r="E595" s="130"/>
      <c r="F595" s="130">
        <v>0</v>
      </c>
      <c r="G595" s="130"/>
      <c r="H595" s="130">
        <v>0</v>
      </c>
      <c r="I595" s="130">
        <v>0</v>
      </c>
      <c r="J595" s="130"/>
      <c r="K595" s="130">
        <v>0</v>
      </c>
      <c r="L595" s="130">
        <v>0</v>
      </c>
      <c r="M595" s="130"/>
      <c r="N595" s="130">
        <v>0</v>
      </c>
    </row>
    <row r="596" spans="1:14" ht="39" x14ac:dyDescent="0.25">
      <c r="A596" s="36" t="s">
        <v>489</v>
      </c>
      <c r="B596" s="39"/>
      <c r="C596" s="37" t="s">
        <v>490</v>
      </c>
      <c r="D596" s="131">
        <f t="shared" ref="D596:N596" si="57">D597</f>
        <v>0</v>
      </c>
      <c r="E596" s="131">
        <f t="shared" si="57"/>
        <v>90.5</v>
      </c>
      <c r="F596" s="131">
        <f t="shared" si="57"/>
        <v>290.5</v>
      </c>
      <c r="G596" s="131">
        <f t="shared" si="57"/>
        <v>0</v>
      </c>
      <c r="H596" s="131">
        <f t="shared" si="57"/>
        <v>290.5</v>
      </c>
      <c r="I596" s="131">
        <f t="shared" si="57"/>
        <v>300</v>
      </c>
      <c r="J596" s="131"/>
      <c r="K596" s="131">
        <f t="shared" si="57"/>
        <v>300</v>
      </c>
      <c r="L596" s="131">
        <f t="shared" si="57"/>
        <v>0</v>
      </c>
      <c r="M596" s="131"/>
      <c r="N596" s="131">
        <f t="shared" si="57"/>
        <v>0</v>
      </c>
    </row>
    <row r="597" spans="1:14" ht="39" x14ac:dyDescent="0.25">
      <c r="A597" s="7" t="s">
        <v>491</v>
      </c>
      <c r="B597" s="7"/>
      <c r="C597" s="3" t="s">
        <v>492</v>
      </c>
      <c r="D597" s="130">
        <f>1800-1800</f>
        <v>0</v>
      </c>
      <c r="E597" s="146">
        <f>E598</f>
        <v>90.5</v>
      </c>
      <c r="F597" s="130">
        <f>F598</f>
        <v>290.5</v>
      </c>
      <c r="G597" s="130"/>
      <c r="H597" s="130">
        <f>H598</f>
        <v>290.5</v>
      </c>
      <c r="I597" s="130">
        <v>300</v>
      </c>
      <c r="J597" s="130"/>
      <c r="K597" s="130">
        <v>300</v>
      </c>
      <c r="L597" s="130">
        <v>0</v>
      </c>
      <c r="M597" s="130"/>
      <c r="N597" s="130">
        <v>0</v>
      </c>
    </row>
    <row r="598" spans="1:14" ht="26.25" x14ac:dyDescent="0.25">
      <c r="A598" s="7"/>
      <c r="B598" s="7" t="s">
        <v>336</v>
      </c>
      <c r="C598" s="3" t="s">
        <v>337</v>
      </c>
      <c r="D598" s="130">
        <v>0</v>
      </c>
      <c r="E598" s="146">
        <v>90.5</v>
      </c>
      <c r="F598" s="130">
        <v>290.5</v>
      </c>
      <c r="G598" s="146"/>
      <c r="H598" s="130">
        <v>290.5</v>
      </c>
      <c r="I598" s="130">
        <v>300</v>
      </c>
      <c r="J598" s="130"/>
      <c r="K598" s="130">
        <v>300</v>
      </c>
      <c r="L598" s="130">
        <v>0</v>
      </c>
      <c r="M598" s="130"/>
      <c r="N598" s="130">
        <v>0</v>
      </c>
    </row>
    <row r="599" spans="1:14" x14ac:dyDescent="0.25">
      <c r="A599" s="70" t="s">
        <v>500</v>
      </c>
      <c r="B599" s="70"/>
      <c r="C599" s="71" t="s">
        <v>501</v>
      </c>
      <c r="D599" s="152">
        <f t="shared" ref="D599:M599" si="58">D600+D608</f>
        <v>61582.80000000001</v>
      </c>
      <c r="E599" s="152">
        <f t="shared" si="58"/>
        <v>4083.1000000000004</v>
      </c>
      <c r="F599" s="152">
        <f t="shared" si="58"/>
        <v>70111.44</v>
      </c>
      <c r="G599" s="152">
        <f t="shared" si="58"/>
        <v>514.6903299999999</v>
      </c>
      <c r="H599" s="152">
        <f t="shared" si="58"/>
        <v>70626.13033</v>
      </c>
      <c r="I599" s="152">
        <f t="shared" si="58"/>
        <v>63713.5</v>
      </c>
      <c r="J599" s="152">
        <f t="shared" si="58"/>
        <v>0</v>
      </c>
      <c r="K599" s="152">
        <f t="shared" si="58"/>
        <v>63713.5</v>
      </c>
      <c r="L599" s="152">
        <f t="shared" si="58"/>
        <v>64082</v>
      </c>
      <c r="M599" s="152">
        <f t="shared" si="58"/>
        <v>0</v>
      </c>
      <c r="N599" s="152">
        <f>N600+N608</f>
        <v>64082</v>
      </c>
    </row>
    <row r="600" spans="1:14" ht="26.25" x14ac:dyDescent="0.25">
      <c r="A600" s="72" t="s">
        <v>502</v>
      </c>
      <c r="B600" s="73"/>
      <c r="C600" s="74" t="s">
        <v>503</v>
      </c>
      <c r="D600" s="153">
        <f>D601+D603+D606</f>
        <v>2718.8</v>
      </c>
      <c r="E600" s="153">
        <f>E601+E603+E606</f>
        <v>39.9</v>
      </c>
      <c r="F600" s="153">
        <f>F601+F603+F606</f>
        <v>2804.8</v>
      </c>
      <c r="G600" s="153">
        <f t="shared" ref="G600:M600" si="59">G601+G603+G606</f>
        <v>0</v>
      </c>
      <c r="H600" s="153">
        <f t="shared" si="59"/>
        <v>2804.8</v>
      </c>
      <c r="I600" s="153">
        <f t="shared" si="59"/>
        <v>2887.8</v>
      </c>
      <c r="J600" s="153">
        <f t="shared" si="59"/>
        <v>0</v>
      </c>
      <c r="K600" s="153">
        <f t="shared" si="59"/>
        <v>2887.8</v>
      </c>
      <c r="L600" s="153">
        <f t="shared" si="59"/>
        <v>2887.8</v>
      </c>
      <c r="M600" s="153">
        <f t="shared" si="59"/>
        <v>0</v>
      </c>
      <c r="N600" s="153">
        <f>N601+N603</f>
        <v>2887.8</v>
      </c>
    </row>
    <row r="601" spans="1:14" ht="26.25" x14ac:dyDescent="0.25">
      <c r="A601" s="7" t="s">
        <v>504</v>
      </c>
      <c r="B601" s="7"/>
      <c r="C601" s="3" t="s">
        <v>767</v>
      </c>
      <c r="D601" s="130">
        <v>1164</v>
      </c>
      <c r="E601" s="130"/>
      <c r="F601" s="130">
        <v>1164</v>
      </c>
      <c r="G601" s="130"/>
      <c r="H601" s="130">
        <v>1164</v>
      </c>
      <c r="I601" s="130">
        <v>1164</v>
      </c>
      <c r="J601" s="130"/>
      <c r="K601" s="130">
        <v>1164</v>
      </c>
      <c r="L601" s="130">
        <v>1164</v>
      </c>
      <c r="M601" s="130"/>
      <c r="N601" s="130">
        <v>1164</v>
      </c>
    </row>
    <row r="602" spans="1:14" ht="51.75" x14ac:dyDescent="0.25">
      <c r="A602" s="7"/>
      <c r="B602" s="7" t="s">
        <v>505</v>
      </c>
      <c r="C602" s="3" t="s">
        <v>506</v>
      </c>
      <c r="D602" s="130">
        <v>1164</v>
      </c>
      <c r="E602" s="130"/>
      <c r="F602" s="130">
        <v>1164</v>
      </c>
      <c r="G602" s="130"/>
      <c r="H602" s="130">
        <v>1164</v>
      </c>
      <c r="I602" s="130">
        <v>1164</v>
      </c>
      <c r="J602" s="130"/>
      <c r="K602" s="130">
        <v>1164</v>
      </c>
      <c r="L602" s="130">
        <v>1164</v>
      </c>
      <c r="M602" s="130"/>
      <c r="N602" s="130">
        <v>1164</v>
      </c>
    </row>
    <row r="603" spans="1:14" ht="26.25" x14ac:dyDescent="0.25">
      <c r="A603" s="7" t="s">
        <v>507</v>
      </c>
      <c r="B603" s="7"/>
      <c r="C603" s="3" t="s">
        <v>508</v>
      </c>
      <c r="D603" s="130">
        <f>D604+D605</f>
        <v>1539.8</v>
      </c>
      <c r="E603" s="146">
        <f>E604+E605</f>
        <v>39.9</v>
      </c>
      <c r="F603" s="130">
        <f>F604+F605</f>
        <v>1625.8</v>
      </c>
      <c r="G603" s="130">
        <f>G604</f>
        <v>0</v>
      </c>
      <c r="H603" s="130">
        <f>H604+H605</f>
        <v>1625.8</v>
      </c>
      <c r="I603" s="130">
        <f>I604+I605</f>
        <v>1723.8000000000002</v>
      </c>
      <c r="J603" s="130">
        <f>J604</f>
        <v>0</v>
      </c>
      <c r="K603" s="130">
        <f>K604+K605</f>
        <v>1723.8000000000002</v>
      </c>
      <c r="L603" s="130">
        <f>L604+L605</f>
        <v>1723.8000000000002</v>
      </c>
      <c r="M603" s="130">
        <f>M604</f>
        <v>0</v>
      </c>
      <c r="N603" s="130">
        <f>N604+N605</f>
        <v>1723.8000000000002</v>
      </c>
    </row>
    <row r="604" spans="1:14" ht="51.75" x14ac:dyDescent="0.25">
      <c r="A604" s="7"/>
      <c r="B604" s="7" t="s">
        <v>505</v>
      </c>
      <c r="C604" s="3" t="s">
        <v>506</v>
      </c>
      <c r="D604" s="130">
        <v>1490.5</v>
      </c>
      <c r="E604" s="146">
        <v>39.9</v>
      </c>
      <c r="F604" s="130">
        <v>1576.5</v>
      </c>
      <c r="G604" s="130"/>
      <c r="H604" s="130">
        <f>SUM(F604:G604)</f>
        <v>1576.5</v>
      </c>
      <c r="I604" s="130">
        <v>1674.5000000000002</v>
      </c>
      <c r="J604" s="130"/>
      <c r="K604" s="130">
        <f>SUM(I604:J604)</f>
        <v>1674.5000000000002</v>
      </c>
      <c r="L604" s="130">
        <v>1674.5000000000002</v>
      </c>
      <c r="M604" s="130"/>
      <c r="N604" s="130">
        <f>SUM(L604:M604)</f>
        <v>1674.5000000000002</v>
      </c>
    </row>
    <row r="605" spans="1:14" ht="26.25" x14ac:dyDescent="0.25">
      <c r="A605" s="7"/>
      <c r="B605" s="7" t="s">
        <v>336</v>
      </c>
      <c r="C605" s="3" t="s">
        <v>337</v>
      </c>
      <c r="D605" s="130">
        <v>49.3</v>
      </c>
      <c r="E605" s="130"/>
      <c r="F605" s="130">
        <v>49.3</v>
      </c>
      <c r="G605" s="130"/>
      <c r="H605" s="130">
        <v>49.3</v>
      </c>
      <c r="I605" s="130">
        <v>49.3</v>
      </c>
      <c r="J605" s="130"/>
      <c r="K605" s="130">
        <v>49.3</v>
      </c>
      <c r="L605" s="130">
        <v>49.3</v>
      </c>
      <c r="M605" s="130"/>
      <c r="N605" s="130">
        <v>49.3</v>
      </c>
    </row>
    <row r="606" spans="1:14" ht="39" x14ac:dyDescent="0.25">
      <c r="A606" s="7" t="s">
        <v>764</v>
      </c>
      <c r="B606" s="7"/>
      <c r="C606" s="3" t="s">
        <v>765</v>
      </c>
      <c r="D606" s="130">
        <f>D607</f>
        <v>15</v>
      </c>
      <c r="E606" s="130"/>
      <c r="F606" s="130">
        <f>F607</f>
        <v>15</v>
      </c>
      <c r="G606" s="130"/>
      <c r="H606" s="130">
        <f>H607</f>
        <v>15</v>
      </c>
      <c r="I606" s="130">
        <v>0</v>
      </c>
      <c r="J606" s="130"/>
      <c r="K606" s="130">
        <v>0</v>
      </c>
      <c r="L606" s="130">
        <v>0</v>
      </c>
      <c r="M606" s="130"/>
      <c r="N606" s="130">
        <v>0</v>
      </c>
    </row>
    <row r="607" spans="1:14" ht="26.25" x14ac:dyDescent="0.25">
      <c r="A607" s="7"/>
      <c r="B607" s="7" t="s">
        <v>336</v>
      </c>
      <c r="C607" s="3" t="s">
        <v>337</v>
      </c>
      <c r="D607" s="130">
        <v>15</v>
      </c>
      <c r="E607" s="130"/>
      <c r="F607" s="130">
        <v>15</v>
      </c>
      <c r="G607" s="130"/>
      <c r="H607" s="130">
        <v>15</v>
      </c>
      <c r="I607" s="130">
        <v>0</v>
      </c>
      <c r="J607" s="130"/>
      <c r="K607" s="130">
        <v>0</v>
      </c>
      <c r="L607" s="130">
        <v>0</v>
      </c>
      <c r="M607" s="130"/>
      <c r="N607" s="130">
        <v>0</v>
      </c>
    </row>
    <row r="608" spans="1:14" ht="39" x14ac:dyDescent="0.25">
      <c r="A608" s="72" t="s">
        <v>509</v>
      </c>
      <c r="B608" s="72"/>
      <c r="C608" s="74" t="s">
        <v>510</v>
      </c>
      <c r="D608" s="153">
        <f>D611+D615+D622+D626+D634+D636+D638+D640+D644+D646+D6358+D618</f>
        <v>58864.000000000007</v>
      </c>
      <c r="E608" s="153">
        <f>E611+E615+E622+E626+E634+E636+E638+E640+E644+E646+E6358+E618+E648+E650+E652</f>
        <v>4043.2000000000003</v>
      </c>
      <c r="F608" s="153">
        <f>F611+F615+F622+F626+F634+F636+F638+F640+F644+F646+F6358+F618+F648+F650+F652+F609+F630+F632+F654</f>
        <v>67306.64</v>
      </c>
      <c r="G608" s="153">
        <f>G611+G615+G622+G626+G634+G636+G638+G640+G644+G646+G6358+G618+G648+G650+G652+G609+G630+G632+G654+G620+G624+G656</f>
        <v>514.6903299999999</v>
      </c>
      <c r="H608" s="153">
        <f>H611+H615+H622+H626+H634+H636+H638+H640+H644+H646+H6358+H618+H648+H650+H652+H609+H630+H632+H654+H620+H624+H656</f>
        <v>67821.330329999997</v>
      </c>
      <c r="I608" s="153">
        <f t="shared" ref="I608:N608" si="60">I611+I615+I622+I626+I634+I636+I638+I640+I644+I646+I6358+I618</f>
        <v>60825.7</v>
      </c>
      <c r="J608" s="153">
        <f t="shared" si="60"/>
        <v>0</v>
      </c>
      <c r="K608" s="153">
        <f t="shared" si="60"/>
        <v>60825.7</v>
      </c>
      <c r="L608" s="153">
        <f t="shared" si="60"/>
        <v>61194.2</v>
      </c>
      <c r="M608" s="153">
        <f t="shared" si="60"/>
        <v>0</v>
      </c>
      <c r="N608" s="153">
        <f t="shared" si="60"/>
        <v>61194.2</v>
      </c>
    </row>
    <row r="609" spans="1:14" s="44" customFormat="1" ht="26.25" x14ac:dyDescent="0.25">
      <c r="A609" s="4" t="s">
        <v>810</v>
      </c>
      <c r="B609" s="4"/>
      <c r="C609" s="171" t="s">
        <v>811</v>
      </c>
      <c r="D609" s="137"/>
      <c r="E609" s="137"/>
      <c r="F609" s="130">
        <f>F610</f>
        <v>120.3</v>
      </c>
      <c r="G609" s="130">
        <f>G610</f>
        <v>27.7</v>
      </c>
      <c r="H609" s="130">
        <f>H610</f>
        <v>148</v>
      </c>
      <c r="I609" s="130">
        <v>0</v>
      </c>
      <c r="J609" s="130"/>
      <c r="K609" s="130">
        <v>0</v>
      </c>
      <c r="L609" s="130">
        <v>0</v>
      </c>
      <c r="M609" s="130"/>
      <c r="N609" s="130">
        <v>0</v>
      </c>
    </row>
    <row r="610" spans="1:14" s="44" customFormat="1" ht="25.5" x14ac:dyDescent="0.25">
      <c r="A610" s="4"/>
      <c r="B610" s="4" t="s">
        <v>336</v>
      </c>
      <c r="C610" s="6" t="s">
        <v>812</v>
      </c>
      <c r="D610" s="137"/>
      <c r="E610" s="137"/>
      <c r="F610" s="130">
        <v>120.3</v>
      </c>
      <c r="G610" s="146">
        <v>27.7</v>
      </c>
      <c r="H610" s="130">
        <f>SUM(F610:G610)</f>
        <v>148</v>
      </c>
      <c r="I610" s="130">
        <v>0</v>
      </c>
      <c r="J610" s="130"/>
      <c r="K610" s="130">
        <v>0</v>
      </c>
      <c r="L610" s="130">
        <v>0</v>
      </c>
      <c r="M610" s="130"/>
      <c r="N610" s="130">
        <v>0</v>
      </c>
    </row>
    <row r="611" spans="1:14" ht="26.25" x14ac:dyDescent="0.25">
      <c r="A611" s="7" t="s">
        <v>511</v>
      </c>
      <c r="B611" s="7"/>
      <c r="C611" s="3" t="s">
        <v>512</v>
      </c>
      <c r="D611" s="130">
        <f>D612+D613+D614</f>
        <v>2894.5</v>
      </c>
      <c r="E611" s="130"/>
      <c r="F611" s="130">
        <f>F612+F613+F614</f>
        <v>2974.8</v>
      </c>
      <c r="G611" s="130">
        <f>G612</f>
        <v>0</v>
      </c>
      <c r="H611" s="130">
        <f>H612+H613+H614</f>
        <v>2974.8</v>
      </c>
      <c r="I611" s="130">
        <f>I612+I613+I614</f>
        <v>3122.3</v>
      </c>
      <c r="J611" s="130">
        <f>J612</f>
        <v>0</v>
      </c>
      <c r="K611" s="130">
        <f>K612+K613+K614</f>
        <v>3122.3</v>
      </c>
      <c r="L611" s="130">
        <f>L612+L613+L614</f>
        <v>3122.3</v>
      </c>
      <c r="M611" s="130">
        <f>M612</f>
        <v>0</v>
      </c>
      <c r="N611" s="130">
        <f>N612+N613+N614</f>
        <v>3122.3</v>
      </c>
    </row>
    <row r="612" spans="1:14" ht="51.75" x14ac:dyDescent="0.25">
      <c r="A612" s="13"/>
      <c r="B612" s="7" t="s">
        <v>505</v>
      </c>
      <c r="C612" s="3" t="s">
        <v>506</v>
      </c>
      <c r="D612" s="130">
        <v>2685.8</v>
      </c>
      <c r="E612" s="130"/>
      <c r="F612" s="130">
        <v>2766.1000000000004</v>
      </c>
      <c r="G612" s="130"/>
      <c r="H612" s="130">
        <f>SUM(F612:G612)</f>
        <v>2766.1000000000004</v>
      </c>
      <c r="I612" s="130">
        <v>2913.6000000000004</v>
      </c>
      <c r="J612" s="130"/>
      <c r="K612" s="130">
        <f>SUM(I612:J612)</f>
        <v>2913.6000000000004</v>
      </c>
      <c r="L612" s="130">
        <v>2913.6000000000004</v>
      </c>
      <c r="M612" s="130"/>
      <c r="N612" s="130">
        <f>SUM(L612:M612)</f>
        <v>2913.6000000000004</v>
      </c>
    </row>
    <row r="613" spans="1:14" ht="26.25" x14ac:dyDescent="0.25">
      <c r="A613" s="13"/>
      <c r="B613" s="7" t="s">
        <v>336</v>
      </c>
      <c r="C613" s="3" t="s">
        <v>337</v>
      </c>
      <c r="D613" s="130">
        <f>95.7-5.5</f>
        <v>90.2</v>
      </c>
      <c r="E613" s="130"/>
      <c r="F613" s="130">
        <f>95.7-5.5</f>
        <v>90.2</v>
      </c>
      <c r="G613" s="130"/>
      <c r="H613" s="130">
        <f>95.7-5.5</f>
        <v>90.2</v>
      </c>
      <c r="I613" s="130">
        <f>99.4-9.2</f>
        <v>90.2</v>
      </c>
      <c r="J613" s="130"/>
      <c r="K613" s="130">
        <f>99.4-9.2</f>
        <v>90.2</v>
      </c>
      <c r="L613" s="130">
        <f>103.4-13.2</f>
        <v>90.2</v>
      </c>
      <c r="M613" s="130"/>
      <c r="N613" s="130">
        <f>103.4-13.2</f>
        <v>90.2</v>
      </c>
    </row>
    <row r="614" spans="1:14" x14ac:dyDescent="0.25">
      <c r="A614" s="13"/>
      <c r="B614" s="17" t="s">
        <v>513</v>
      </c>
      <c r="C614" s="8" t="s">
        <v>514</v>
      </c>
      <c r="D614" s="130">
        <v>118.5</v>
      </c>
      <c r="E614" s="130"/>
      <c r="F614" s="130">
        <v>118.5</v>
      </c>
      <c r="G614" s="130"/>
      <c r="H614" s="130">
        <v>118.5</v>
      </c>
      <c r="I614" s="130">
        <v>118.5</v>
      </c>
      <c r="J614" s="130"/>
      <c r="K614" s="130">
        <v>118.5</v>
      </c>
      <c r="L614" s="130">
        <v>118.5</v>
      </c>
      <c r="M614" s="130"/>
      <c r="N614" s="130">
        <v>118.5</v>
      </c>
    </row>
    <row r="615" spans="1:14" ht="26.25" x14ac:dyDescent="0.25">
      <c r="A615" s="7" t="s">
        <v>515</v>
      </c>
      <c r="B615" s="7"/>
      <c r="C615" s="9" t="s">
        <v>516</v>
      </c>
      <c r="D615" s="130">
        <f>D616+D617</f>
        <v>15066.1</v>
      </c>
      <c r="E615" s="130"/>
      <c r="F615" s="130">
        <f>F616+F617</f>
        <v>16658</v>
      </c>
      <c r="G615" s="130">
        <f>G616</f>
        <v>0</v>
      </c>
      <c r="H615" s="130">
        <f>H616+H617</f>
        <v>16658</v>
      </c>
      <c r="I615" s="130">
        <f>I616+I617</f>
        <v>17858.400000000001</v>
      </c>
      <c r="J615" s="130">
        <f>J616</f>
        <v>0</v>
      </c>
      <c r="K615" s="130">
        <f>K616+K617</f>
        <v>17858.400000000001</v>
      </c>
      <c r="L615" s="130">
        <f>L616+L617</f>
        <v>17858.599999999999</v>
      </c>
      <c r="M615" s="130">
        <f>M616</f>
        <v>0</v>
      </c>
      <c r="N615" s="130">
        <f>N616+N617</f>
        <v>17858.599999999999</v>
      </c>
    </row>
    <row r="616" spans="1:14" ht="51.75" x14ac:dyDescent="0.25">
      <c r="A616" s="7"/>
      <c r="B616" s="7" t="s">
        <v>505</v>
      </c>
      <c r="C616" s="3" t="s">
        <v>506</v>
      </c>
      <c r="D616" s="154">
        <v>14080.7</v>
      </c>
      <c r="E616" s="154"/>
      <c r="F616" s="154">
        <v>15672.599999999999</v>
      </c>
      <c r="G616" s="154"/>
      <c r="H616" s="154">
        <f>SUM(F616:G616)</f>
        <v>15672.599999999999</v>
      </c>
      <c r="I616" s="154">
        <v>16894</v>
      </c>
      <c r="J616" s="154"/>
      <c r="K616" s="154">
        <f>SUM(I616:J616)</f>
        <v>16894</v>
      </c>
      <c r="L616" s="154">
        <v>16894</v>
      </c>
      <c r="M616" s="154"/>
      <c r="N616" s="154">
        <f>SUM(L616:M616)</f>
        <v>16894</v>
      </c>
    </row>
    <row r="617" spans="1:14" ht="26.25" x14ac:dyDescent="0.25">
      <c r="A617" s="7"/>
      <c r="B617" s="7" t="s">
        <v>336</v>
      </c>
      <c r="C617" s="3" t="s">
        <v>337</v>
      </c>
      <c r="D617" s="130">
        <v>985.4</v>
      </c>
      <c r="E617" s="130"/>
      <c r="F617" s="130">
        <v>985.4</v>
      </c>
      <c r="G617" s="130"/>
      <c r="H617" s="130">
        <v>985.4</v>
      </c>
      <c r="I617" s="130">
        <f>1064.4-100</f>
        <v>964.40000000000009</v>
      </c>
      <c r="J617" s="130"/>
      <c r="K617" s="130">
        <f>1064.4-100</f>
        <v>964.40000000000009</v>
      </c>
      <c r="L617" s="130">
        <f>1107-142.4</f>
        <v>964.6</v>
      </c>
      <c r="M617" s="130"/>
      <c r="N617" s="130">
        <f>1107-142.4</f>
        <v>964.6</v>
      </c>
    </row>
    <row r="618" spans="1:14" ht="39" x14ac:dyDescent="0.25">
      <c r="A618" s="7" t="s">
        <v>517</v>
      </c>
      <c r="B618" s="7"/>
      <c r="C618" s="3" t="s">
        <v>76</v>
      </c>
      <c r="D618" s="130">
        <f>D619</f>
        <v>153.6</v>
      </c>
      <c r="E618" s="130"/>
      <c r="F618" s="130">
        <f>F619</f>
        <v>153.6</v>
      </c>
      <c r="G618" s="130"/>
      <c r="H618" s="130">
        <f>H619</f>
        <v>153.6</v>
      </c>
      <c r="I618" s="130">
        <f>I619</f>
        <v>112</v>
      </c>
      <c r="J618" s="130"/>
      <c r="K618" s="130">
        <f>K619</f>
        <v>112</v>
      </c>
      <c r="L618" s="130">
        <f>L619</f>
        <v>112</v>
      </c>
      <c r="M618" s="130"/>
      <c r="N618" s="130">
        <f>N619</f>
        <v>112</v>
      </c>
    </row>
    <row r="619" spans="1:14" ht="51.75" x14ac:dyDescent="0.25">
      <c r="A619" s="7"/>
      <c r="B619" s="7" t="s">
        <v>505</v>
      </c>
      <c r="C619" s="3" t="s">
        <v>506</v>
      </c>
      <c r="D619" s="130">
        <v>153.6</v>
      </c>
      <c r="E619" s="130"/>
      <c r="F619" s="130">
        <v>153.6</v>
      </c>
      <c r="G619" s="130"/>
      <c r="H619" s="130">
        <v>153.6</v>
      </c>
      <c r="I619" s="130">
        <v>112</v>
      </c>
      <c r="J619" s="130"/>
      <c r="K619" s="130">
        <v>112</v>
      </c>
      <c r="L619" s="130">
        <v>112</v>
      </c>
      <c r="M619" s="130"/>
      <c r="N619" s="130">
        <v>112</v>
      </c>
    </row>
    <row r="620" spans="1:14" ht="25.5" x14ac:dyDescent="0.25">
      <c r="A620" s="7" t="s">
        <v>518</v>
      </c>
      <c r="B620" s="7"/>
      <c r="C620" s="1" t="s">
        <v>519</v>
      </c>
      <c r="D620" s="146">
        <f>D621</f>
        <v>0</v>
      </c>
      <c r="E620" s="146"/>
      <c r="F620" s="146">
        <f>F621</f>
        <v>0</v>
      </c>
      <c r="G620" s="130">
        <f>G621</f>
        <v>72.790329999999997</v>
      </c>
      <c r="H620" s="146">
        <f>H621</f>
        <v>72.790329999999997</v>
      </c>
      <c r="I620" s="146">
        <f>I621</f>
        <v>0</v>
      </c>
      <c r="J620" s="146"/>
      <c r="K620" s="146">
        <f>K621</f>
        <v>0</v>
      </c>
      <c r="L620" s="146">
        <f>L621</f>
        <v>0</v>
      </c>
      <c r="M620" s="146"/>
      <c r="N620" s="146">
        <f>N621</f>
        <v>0</v>
      </c>
    </row>
    <row r="621" spans="1:14" ht="51.75" x14ac:dyDescent="0.25">
      <c r="A621" s="7"/>
      <c r="B621" s="7" t="s">
        <v>505</v>
      </c>
      <c r="C621" s="3" t="s">
        <v>506</v>
      </c>
      <c r="D621" s="130">
        <v>0</v>
      </c>
      <c r="E621" s="130"/>
      <c r="F621" s="130">
        <v>0</v>
      </c>
      <c r="G621" s="130">
        <v>72.790329999999997</v>
      </c>
      <c r="H621" s="130">
        <f>SUM(F621:G621)</f>
        <v>72.790329999999997</v>
      </c>
      <c r="I621" s="130">
        <v>0</v>
      </c>
      <c r="J621" s="130"/>
      <c r="K621" s="130">
        <v>0</v>
      </c>
      <c r="L621" s="130">
        <v>0</v>
      </c>
      <c r="M621" s="130"/>
      <c r="N621" s="130">
        <v>0</v>
      </c>
    </row>
    <row r="622" spans="1:14" ht="51.75" x14ac:dyDescent="0.25">
      <c r="A622" s="7" t="s">
        <v>520</v>
      </c>
      <c r="B622" s="7"/>
      <c r="C622" s="3" t="s">
        <v>521</v>
      </c>
      <c r="D622" s="130">
        <f>D623</f>
        <v>8390.5</v>
      </c>
      <c r="E622" s="130"/>
      <c r="F622" s="130">
        <f>F623</f>
        <v>8390.5</v>
      </c>
      <c r="G622" s="130"/>
      <c r="H622" s="130">
        <f>H623</f>
        <v>8390.5</v>
      </c>
      <c r="I622" s="130">
        <f>I623</f>
        <v>8390.5</v>
      </c>
      <c r="J622" s="130"/>
      <c r="K622" s="130">
        <f>K623</f>
        <v>8390.5</v>
      </c>
      <c r="L622" s="130">
        <f>L623</f>
        <v>8390.5</v>
      </c>
      <c r="M622" s="130"/>
      <c r="N622" s="130">
        <f>N623</f>
        <v>8390.5</v>
      </c>
    </row>
    <row r="623" spans="1:14" ht="51.75" x14ac:dyDescent="0.25">
      <c r="A623" s="7"/>
      <c r="B623" s="7" t="s">
        <v>505</v>
      </c>
      <c r="C623" s="3" t="s">
        <v>506</v>
      </c>
      <c r="D623" s="130">
        <f>8339.3+51.2</f>
        <v>8390.5</v>
      </c>
      <c r="E623" s="130"/>
      <c r="F623" s="130">
        <f>SUM(D623:E623)</f>
        <v>8390.5</v>
      </c>
      <c r="G623" s="130"/>
      <c r="H623" s="130">
        <f>SUM(F623:G623)</f>
        <v>8390.5</v>
      </c>
      <c r="I623" s="130">
        <f>8339.3+51.2</f>
        <v>8390.5</v>
      </c>
      <c r="J623" s="130"/>
      <c r="K623" s="130">
        <f>8339.3+51.2</f>
        <v>8390.5</v>
      </c>
      <c r="L623" s="130">
        <f>8339.3+51.2</f>
        <v>8390.5</v>
      </c>
      <c r="M623" s="130"/>
      <c r="N623" s="130">
        <f>8339.3+51.2</f>
        <v>8390.5</v>
      </c>
    </row>
    <row r="624" spans="1:14" ht="64.5" x14ac:dyDescent="0.25">
      <c r="A624" s="7" t="s">
        <v>914</v>
      </c>
      <c r="B624" s="7"/>
      <c r="C624" s="3" t="s">
        <v>915</v>
      </c>
      <c r="D624" s="130"/>
      <c r="E624" s="130"/>
      <c r="F624" s="130"/>
      <c r="G624" s="130">
        <f>G625</f>
        <v>174.4</v>
      </c>
      <c r="H624" s="130">
        <f>H625</f>
        <v>174.4</v>
      </c>
      <c r="I624" s="130"/>
      <c r="J624" s="130"/>
      <c r="K624" s="130">
        <v>0</v>
      </c>
      <c r="L624" s="130"/>
      <c r="M624" s="130"/>
      <c r="N624" s="130">
        <v>0</v>
      </c>
    </row>
    <row r="625" spans="1:14" ht="51.75" x14ac:dyDescent="0.25">
      <c r="A625" s="7"/>
      <c r="B625" s="7" t="s">
        <v>505</v>
      </c>
      <c r="C625" s="3" t="s">
        <v>506</v>
      </c>
      <c r="D625" s="130"/>
      <c r="E625" s="130"/>
      <c r="F625" s="130"/>
      <c r="G625" s="130">
        <v>174.4</v>
      </c>
      <c r="H625" s="130">
        <f>G625</f>
        <v>174.4</v>
      </c>
      <c r="I625" s="130"/>
      <c r="J625" s="130"/>
      <c r="K625" s="130">
        <v>0</v>
      </c>
      <c r="L625" s="130"/>
      <c r="M625" s="130"/>
      <c r="N625" s="130">
        <v>0</v>
      </c>
    </row>
    <row r="626" spans="1:14" ht="26.25" x14ac:dyDescent="0.25">
      <c r="A626" s="7" t="s">
        <v>522</v>
      </c>
      <c r="B626" s="7"/>
      <c r="C626" s="9" t="s">
        <v>523</v>
      </c>
      <c r="D626" s="130">
        <f>D627+D628+D629</f>
        <v>30264.500000000004</v>
      </c>
      <c r="E626" s="146">
        <f>E627+E628+E629</f>
        <v>3093.1000000000004</v>
      </c>
      <c r="F626" s="130">
        <f>F627+F628+F629</f>
        <v>34743.099999999991</v>
      </c>
      <c r="G626" s="130">
        <f>G627+G628</f>
        <v>132.19999999999999</v>
      </c>
      <c r="H626" s="130">
        <f>H627+H628+H629</f>
        <v>34875.299999999996</v>
      </c>
      <c r="I626" s="130">
        <f>I627+I628+I629</f>
        <v>30467</v>
      </c>
      <c r="J626" s="130">
        <f>J627</f>
        <v>0</v>
      </c>
      <c r="K626" s="130">
        <f>K627+K628+K629</f>
        <v>30467</v>
      </c>
      <c r="L626" s="130">
        <f>L627+L628+L629</f>
        <v>30835.3</v>
      </c>
      <c r="M626" s="130">
        <f>M627</f>
        <v>0</v>
      </c>
      <c r="N626" s="130">
        <f>N627+N628+N629</f>
        <v>30835.3</v>
      </c>
    </row>
    <row r="627" spans="1:14" ht="51.75" x14ac:dyDescent="0.25">
      <c r="A627" s="7"/>
      <c r="B627" s="7" t="s">
        <v>505</v>
      </c>
      <c r="C627" s="3" t="s">
        <v>506</v>
      </c>
      <c r="D627" s="130">
        <v>16275.6</v>
      </c>
      <c r="E627" s="146"/>
      <c r="F627" s="130">
        <v>17072.5</v>
      </c>
      <c r="G627" s="130"/>
      <c r="H627" s="130">
        <f>SUM(F627:G627)</f>
        <v>17072.5</v>
      </c>
      <c r="I627" s="130">
        <v>16133.5</v>
      </c>
      <c r="J627" s="130"/>
      <c r="K627" s="130">
        <f>SUM(I627:J627)</f>
        <v>16133.5</v>
      </c>
      <c r="L627" s="130">
        <v>16133.5</v>
      </c>
      <c r="M627" s="130"/>
      <c r="N627" s="130">
        <f>SUM(L627:M627)</f>
        <v>16133.5</v>
      </c>
    </row>
    <row r="628" spans="1:14" ht="26.25" x14ac:dyDescent="0.25">
      <c r="A628" s="7"/>
      <c r="B628" s="7" t="s">
        <v>336</v>
      </c>
      <c r="C628" s="3" t="s">
        <v>337</v>
      </c>
      <c r="D628" s="130">
        <v>13529.2</v>
      </c>
      <c r="E628" s="146">
        <f>3000+9.8+83.3</f>
        <v>3093.1000000000004</v>
      </c>
      <c r="F628" s="130">
        <v>17210.899999999998</v>
      </c>
      <c r="G628" s="130">
        <f>87+45.2</f>
        <v>132.19999999999999</v>
      </c>
      <c r="H628" s="130">
        <f>SUM(F628:G628)</f>
        <v>17343.099999999999</v>
      </c>
      <c r="I628" s="130">
        <f>14419-572.2+35.6</f>
        <v>13882.4</v>
      </c>
      <c r="J628" s="130"/>
      <c r="K628" s="130">
        <f>14419-572.2+35.6</f>
        <v>13882.4</v>
      </c>
      <c r="L628" s="130">
        <f>14995.6-816.6+71.7</f>
        <v>14250.7</v>
      </c>
      <c r="M628" s="130"/>
      <c r="N628" s="130">
        <f>14995.6-816.6+71.7</f>
        <v>14250.7</v>
      </c>
    </row>
    <row r="629" spans="1:14" x14ac:dyDescent="0.25">
      <c r="A629" s="7"/>
      <c r="B629" s="7" t="s">
        <v>513</v>
      </c>
      <c r="C629" s="3" t="s">
        <v>514</v>
      </c>
      <c r="D629" s="130">
        <v>459.7</v>
      </c>
      <c r="E629" s="130"/>
      <c r="F629" s="130">
        <v>459.7</v>
      </c>
      <c r="G629" s="130"/>
      <c r="H629" s="130">
        <v>459.7</v>
      </c>
      <c r="I629" s="130">
        <v>451.1</v>
      </c>
      <c r="J629" s="130"/>
      <c r="K629" s="130">
        <v>451.1</v>
      </c>
      <c r="L629" s="130">
        <v>451.1</v>
      </c>
      <c r="M629" s="130"/>
      <c r="N629" s="130">
        <v>451.1</v>
      </c>
    </row>
    <row r="630" spans="1:14" x14ac:dyDescent="0.25">
      <c r="A630" s="17" t="s">
        <v>524</v>
      </c>
      <c r="B630" s="17"/>
      <c r="C630" s="1" t="s">
        <v>525</v>
      </c>
      <c r="D630" s="130">
        <v>0</v>
      </c>
      <c r="E630" s="130"/>
      <c r="F630" s="130">
        <f>F631</f>
        <v>866.8</v>
      </c>
      <c r="G630" s="130">
        <f>G631</f>
        <v>-45.2</v>
      </c>
      <c r="H630" s="130">
        <f>H631</f>
        <v>821.59999999999991</v>
      </c>
      <c r="I630" s="130">
        <v>0</v>
      </c>
      <c r="J630" s="130"/>
      <c r="K630" s="130">
        <v>0</v>
      </c>
      <c r="L630" s="130">
        <v>0</v>
      </c>
      <c r="M630" s="130"/>
      <c r="N630" s="130">
        <v>0</v>
      </c>
    </row>
    <row r="631" spans="1:14" ht="25.5" x14ac:dyDescent="0.25">
      <c r="A631" s="17"/>
      <c r="B631" s="17" t="s">
        <v>336</v>
      </c>
      <c r="C631" s="1" t="s">
        <v>337</v>
      </c>
      <c r="D631" s="130">
        <f>1141.9-1141.9</f>
        <v>0</v>
      </c>
      <c r="E631" s="130"/>
      <c r="F631" s="130">
        <v>866.8</v>
      </c>
      <c r="G631" s="130">
        <v>-45.2</v>
      </c>
      <c r="H631" s="130">
        <f>SUM(F631:G631)</f>
        <v>821.59999999999991</v>
      </c>
      <c r="I631" s="130">
        <f>1193.9-1193.9</f>
        <v>0</v>
      </c>
      <c r="J631" s="130"/>
      <c r="K631" s="130">
        <f>1193.9-1193.9</f>
        <v>0</v>
      </c>
      <c r="L631" s="130">
        <f>1243.6-1243.6</f>
        <v>0</v>
      </c>
      <c r="M631" s="130"/>
      <c r="N631" s="130">
        <f>1243.6-1243.6</f>
        <v>0</v>
      </c>
    </row>
    <row r="632" spans="1:14" ht="25.5" x14ac:dyDescent="0.25">
      <c r="A632" s="17" t="s">
        <v>822</v>
      </c>
      <c r="B632" s="17"/>
      <c r="C632" s="1" t="s">
        <v>823</v>
      </c>
      <c r="D632" s="130"/>
      <c r="E632" s="130"/>
      <c r="F632" s="130">
        <v>145.80000000000001</v>
      </c>
      <c r="G632" s="146"/>
      <c r="H632" s="130">
        <f>H633</f>
        <v>145.80000000000001</v>
      </c>
      <c r="I632" s="130"/>
      <c r="J632" s="130"/>
      <c r="K632" s="130">
        <v>0</v>
      </c>
      <c r="L632" s="130"/>
      <c r="M632" s="130"/>
      <c r="N632" s="130">
        <v>0</v>
      </c>
    </row>
    <row r="633" spans="1:14" ht="25.5" x14ac:dyDescent="0.25">
      <c r="A633" s="17"/>
      <c r="B633" s="17" t="s">
        <v>608</v>
      </c>
      <c r="C633" s="1" t="s">
        <v>337</v>
      </c>
      <c r="D633" s="130"/>
      <c r="E633" s="130"/>
      <c r="F633" s="130">
        <v>145.80000000000001</v>
      </c>
      <c r="G633" s="146"/>
      <c r="H633" s="130">
        <v>145.80000000000001</v>
      </c>
      <c r="I633" s="130"/>
      <c r="J633" s="130"/>
      <c r="K633" s="130">
        <v>0</v>
      </c>
      <c r="L633" s="130"/>
      <c r="M633" s="130"/>
      <c r="N633" s="130">
        <v>0</v>
      </c>
    </row>
    <row r="634" spans="1:14" ht="25.5" x14ac:dyDescent="0.25">
      <c r="A634" s="7" t="s">
        <v>526</v>
      </c>
      <c r="B634" s="17"/>
      <c r="C634" s="1" t="s">
        <v>527</v>
      </c>
      <c r="D634" s="130">
        <f>D635</f>
        <v>979.5</v>
      </c>
      <c r="E634" s="130"/>
      <c r="F634" s="130">
        <f>F635</f>
        <v>999.5</v>
      </c>
      <c r="G634" s="130">
        <f>G635</f>
        <v>99.6</v>
      </c>
      <c r="H634" s="130">
        <f>H635</f>
        <v>1099.0999999999999</v>
      </c>
      <c r="I634" s="130">
        <f>I635</f>
        <v>0</v>
      </c>
      <c r="J634" s="130"/>
      <c r="K634" s="130">
        <f>K635</f>
        <v>0</v>
      </c>
      <c r="L634" s="130">
        <f>L635</f>
        <v>0</v>
      </c>
      <c r="M634" s="130"/>
      <c r="N634" s="130">
        <f>N635</f>
        <v>0</v>
      </c>
    </row>
    <row r="635" spans="1:14" x14ac:dyDescent="0.25">
      <c r="A635" s="7"/>
      <c r="B635" s="17" t="s">
        <v>513</v>
      </c>
      <c r="C635" s="1" t="s">
        <v>514</v>
      </c>
      <c r="D635" s="130">
        <v>979.5</v>
      </c>
      <c r="E635" s="130"/>
      <c r="F635" s="130">
        <v>999.5</v>
      </c>
      <c r="G635" s="130">
        <v>99.6</v>
      </c>
      <c r="H635" s="130">
        <f>F635+G635</f>
        <v>1099.0999999999999</v>
      </c>
      <c r="I635" s="130"/>
      <c r="J635" s="130"/>
      <c r="K635" s="130"/>
      <c r="L635" s="130"/>
      <c r="M635" s="130"/>
      <c r="N635" s="130"/>
    </row>
    <row r="636" spans="1:14" ht="26.25" x14ac:dyDescent="0.25">
      <c r="A636" s="7" t="s">
        <v>528</v>
      </c>
      <c r="B636" s="7"/>
      <c r="C636" s="9" t="s">
        <v>529</v>
      </c>
      <c r="D636" s="130">
        <f>D637</f>
        <v>88</v>
      </c>
      <c r="E636" s="130"/>
      <c r="F636" s="130">
        <f>F637</f>
        <v>88</v>
      </c>
      <c r="G636" s="130"/>
      <c r="H636" s="130">
        <f>H637</f>
        <v>88</v>
      </c>
      <c r="I636" s="130">
        <f>I637</f>
        <v>88</v>
      </c>
      <c r="J636" s="130"/>
      <c r="K636" s="130">
        <f>K637</f>
        <v>88</v>
      </c>
      <c r="L636" s="130">
        <f>L637</f>
        <v>88</v>
      </c>
      <c r="M636" s="130"/>
      <c r="N636" s="130">
        <f>N637</f>
        <v>88</v>
      </c>
    </row>
    <row r="637" spans="1:14" ht="26.25" x14ac:dyDescent="0.25">
      <c r="A637" s="7"/>
      <c r="B637" s="7" t="s">
        <v>336</v>
      </c>
      <c r="C637" s="3" t="s">
        <v>337</v>
      </c>
      <c r="D637" s="130">
        <v>88</v>
      </c>
      <c r="E637" s="130"/>
      <c r="F637" s="130">
        <v>88</v>
      </c>
      <c r="G637" s="130"/>
      <c r="H637" s="130">
        <v>88</v>
      </c>
      <c r="I637" s="130">
        <v>88</v>
      </c>
      <c r="J637" s="130"/>
      <c r="K637" s="130">
        <v>88</v>
      </c>
      <c r="L637" s="130">
        <v>88</v>
      </c>
      <c r="M637" s="130"/>
      <c r="N637" s="130">
        <v>88</v>
      </c>
    </row>
    <row r="638" spans="1:14" ht="39" x14ac:dyDescent="0.25">
      <c r="A638" s="7" t="s">
        <v>530</v>
      </c>
      <c r="B638" s="7"/>
      <c r="C638" s="9" t="s">
        <v>531</v>
      </c>
      <c r="D638" s="130">
        <f>D639</f>
        <v>3.3</v>
      </c>
      <c r="E638" s="130"/>
      <c r="F638" s="130">
        <f>F639</f>
        <v>3.3</v>
      </c>
      <c r="G638" s="130"/>
      <c r="H638" s="130">
        <f>H639</f>
        <v>3.3</v>
      </c>
      <c r="I638" s="130">
        <f>I639</f>
        <v>3.5</v>
      </c>
      <c r="J638" s="130"/>
      <c r="K638" s="130">
        <f>K639</f>
        <v>3.5</v>
      </c>
      <c r="L638" s="130">
        <f>L639</f>
        <v>3.5</v>
      </c>
      <c r="M638" s="130"/>
      <c r="N638" s="130">
        <f>N639</f>
        <v>3.5</v>
      </c>
    </row>
    <row r="639" spans="1:14" ht="26.25" x14ac:dyDescent="0.25">
      <c r="A639" s="7"/>
      <c r="B639" s="7" t="s">
        <v>336</v>
      </c>
      <c r="C639" s="3" t="s">
        <v>337</v>
      </c>
      <c r="D639" s="130">
        <v>3.3</v>
      </c>
      <c r="E639" s="130"/>
      <c r="F639" s="130">
        <v>3.3</v>
      </c>
      <c r="G639" s="130"/>
      <c r="H639" s="130">
        <v>3.3</v>
      </c>
      <c r="I639" s="130">
        <v>3.5</v>
      </c>
      <c r="J639" s="130"/>
      <c r="K639" s="130">
        <v>3.5</v>
      </c>
      <c r="L639" s="130">
        <v>3.5</v>
      </c>
      <c r="M639" s="130"/>
      <c r="N639" s="130">
        <v>3.5</v>
      </c>
    </row>
    <row r="640" spans="1:14" ht="26.25" x14ac:dyDescent="0.25">
      <c r="A640" s="7" t="s">
        <v>532</v>
      </c>
      <c r="B640" s="7"/>
      <c r="C640" s="3" t="s">
        <v>533</v>
      </c>
      <c r="D640" s="130">
        <f>D643</f>
        <v>484</v>
      </c>
      <c r="E640" s="130"/>
      <c r="F640" s="130">
        <f>F643</f>
        <v>631</v>
      </c>
      <c r="G640" s="130">
        <f>G643</f>
        <v>0</v>
      </c>
      <c r="H640" s="130">
        <f>H643</f>
        <v>631</v>
      </c>
      <c r="I640" s="130">
        <f>I643</f>
        <v>484</v>
      </c>
      <c r="J640" s="130"/>
      <c r="K640" s="130">
        <f>K643</f>
        <v>484</v>
      </c>
      <c r="L640" s="130">
        <f>L643</f>
        <v>484</v>
      </c>
      <c r="M640" s="130"/>
      <c r="N640" s="130">
        <f>N643</f>
        <v>484</v>
      </c>
    </row>
    <row r="641" spans="1:14" ht="25.5" x14ac:dyDescent="0.25">
      <c r="A641" s="7"/>
      <c r="B641" s="7" t="s">
        <v>336</v>
      </c>
      <c r="C641" s="8" t="s">
        <v>337</v>
      </c>
      <c r="D641" s="130"/>
      <c r="E641" s="130"/>
      <c r="F641" s="130">
        <v>0</v>
      </c>
      <c r="G641" s="130"/>
      <c r="H641" s="130">
        <v>0</v>
      </c>
      <c r="I641" s="130">
        <v>0</v>
      </c>
      <c r="J641" s="130"/>
      <c r="K641" s="130">
        <v>0</v>
      </c>
      <c r="L641" s="130">
        <v>0</v>
      </c>
      <c r="M641" s="130"/>
      <c r="N641" s="130">
        <v>0</v>
      </c>
    </row>
    <row r="642" spans="1:14" x14ac:dyDescent="0.25">
      <c r="A642" s="7"/>
      <c r="B642" s="7" t="s">
        <v>534</v>
      </c>
      <c r="C642" s="1" t="s">
        <v>535</v>
      </c>
      <c r="D642" s="130"/>
      <c r="E642" s="130"/>
      <c r="F642" s="130">
        <v>0</v>
      </c>
      <c r="G642" s="130"/>
      <c r="H642" s="130">
        <v>0</v>
      </c>
      <c r="I642" s="130"/>
      <c r="J642" s="130"/>
      <c r="K642" s="130"/>
      <c r="L642" s="130">
        <v>0</v>
      </c>
      <c r="M642" s="130"/>
      <c r="N642" s="130">
        <v>0</v>
      </c>
    </row>
    <row r="643" spans="1:14" x14ac:dyDescent="0.25">
      <c r="A643" s="7"/>
      <c r="B643" s="7" t="s">
        <v>513</v>
      </c>
      <c r="C643" s="3" t="s">
        <v>514</v>
      </c>
      <c r="D643" s="130">
        <v>484</v>
      </c>
      <c r="E643" s="130"/>
      <c r="F643" s="130">
        <v>631</v>
      </c>
      <c r="G643" s="130"/>
      <c r="H643" s="130">
        <f>SUM(F643+G643)</f>
        <v>631</v>
      </c>
      <c r="I643" s="130">
        <v>484</v>
      </c>
      <c r="J643" s="130"/>
      <c r="K643" s="130">
        <v>484</v>
      </c>
      <c r="L643" s="130">
        <v>484</v>
      </c>
      <c r="M643" s="130"/>
      <c r="N643" s="130">
        <v>484</v>
      </c>
    </row>
    <row r="644" spans="1:14" ht="26.25" x14ac:dyDescent="0.25">
      <c r="A644" s="7" t="s">
        <v>536</v>
      </c>
      <c r="B644" s="7"/>
      <c r="C644" s="3" t="s">
        <v>537</v>
      </c>
      <c r="D644" s="130">
        <f>D645</f>
        <v>300</v>
      </c>
      <c r="E644" s="130"/>
      <c r="F644" s="130">
        <f>F645</f>
        <v>300</v>
      </c>
      <c r="G644" s="130"/>
      <c r="H644" s="130">
        <f>H645</f>
        <v>300</v>
      </c>
      <c r="I644" s="130">
        <f>I645</f>
        <v>300</v>
      </c>
      <c r="J644" s="130"/>
      <c r="K644" s="130">
        <f>K645</f>
        <v>300</v>
      </c>
      <c r="L644" s="130">
        <f>L645</f>
        <v>300</v>
      </c>
      <c r="M644" s="130"/>
      <c r="N644" s="130">
        <f>N645</f>
        <v>300</v>
      </c>
    </row>
    <row r="645" spans="1:14" ht="26.25" x14ac:dyDescent="0.25">
      <c r="A645" s="7"/>
      <c r="B645" s="7" t="s">
        <v>336</v>
      </c>
      <c r="C645" s="3" t="s">
        <v>337</v>
      </c>
      <c r="D645" s="130">
        <v>300</v>
      </c>
      <c r="E645" s="146"/>
      <c r="F645" s="130">
        <v>300</v>
      </c>
      <c r="G645" s="130"/>
      <c r="H645" s="130">
        <v>300</v>
      </c>
      <c r="I645" s="130">
        <v>300</v>
      </c>
      <c r="J645" s="130"/>
      <c r="K645" s="130">
        <v>300</v>
      </c>
      <c r="L645" s="130">
        <v>300</v>
      </c>
      <c r="M645" s="130"/>
      <c r="N645" s="130">
        <v>300</v>
      </c>
    </row>
    <row r="646" spans="1:14" x14ac:dyDescent="0.25">
      <c r="A646" s="7" t="s">
        <v>538</v>
      </c>
      <c r="B646" s="7"/>
      <c r="C646" s="3" t="s">
        <v>539</v>
      </c>
      <c r="D646" s="130">
        <f>D647</f>
        <v>240</v>
      </c>
      <c r="E646" s="146">
        <f>E647</f>
        <v>25</v>
      </c>
      <c r="F646" s="130">
        <f>F647</f>
        <v>265</v>
      </c>
      <c r="G646" s="130"/>
      <c r="H646" s="130">
        <f>H647</f>
        <v>265</v>
      </c>
      <c r="I646" s="130">
        <f>I647</f>
        <v>0</v>
      </c>
      <c r="J646" s="130"/>
      <c r="K646" s="130">
        <f>K647</f>
        <v>0</v>
      </c>
      <c r="L646" s="130">
        <f>L647</f>
        <v>0</v>
      </c>
      <c r="M646" s="130"/>
      <c r="N646" s="130">
        <f>N647</f>
        <v>0</v>
      </c>
    </row>
    <row r="647" spans="1:14" x14ac:dyDescent="0.25">
      <c r="A647" s="7"/>
      <c r="B647" s="7" t="s">
        <v>513</v>
      </c>
      <c r="C647" s="3" t="s">
        <v>514</v>
      </c>
      <c r="D647" s="130">
        <v>240</v>
      </c>
      <c r="E647" s="146">
        <v>25</v>
      </c>
      <c r="F647" s="130">
        <v>265</v>
      </c>
      <c r="G647" s="130"/>
      <c r="H647" s="130">
        <f>SUM(F647:G647)</f>
        <v>265</v>
      </c>
      <c r="I647" s="130">
        <v>0</v>
      </c>
      <c r="J647" s="130"/>
      <c r="K647" s="130">
        <v>0</v>
      </c>
      <c r="L647" s="130">
        <v>0</v>
      </c>
      <c r="M647" s="130"/>
      <c r="N647" s="130">
        <v>0</v>
      </c>
    </row>
    <row r="648" spans="1:14" ht="39" x14ac:dyDescent="0.25">
      <c r="A648" s="24" t="s">
        <v>540</v>
      </c>
      <c r="B648" s="17"/>
      <c r="C648" s="3" t="s">
        <v>541</v>
      </c>
      <c r="D648" s="130"/>
      <c r="E648" s="146">
        <v>590</v>
      </c>
      <c r="F648" s="130">
        <v>590</v>
      </c>
      <c r="G648" s="130"/>
      <c r="H648" s="130">
        <v>590</v>
      </c>
      <c r="I648" s="130">
        <v>0</v>
      </c>
      <c r="J648" s="130"/>
      <c r="K648" s="130">
        <v>0</v>
      </c>
      <c r="L648" s="130">
        <v>0</v>
      </c>
      <c r="M648" s="130"/>
      <c r="N648" s="130">
        <v>0</v>
      </c>
    </row>
    <row r="649" spans="1:14" ht="25.5" x14ac:dyDescent="0.25">
      <c r="A649" s="18"/>
      <c r="B649" s="17" t="s">
        <v>336</v>
      </c>
      <c r="C649" s="1" t="s">
        <v>337</v>
      </c>
      <c r="D649" s="130"/>
      <c r="E649" s="146">
        <v>590</v>
      </c>
      <c r="F649" s="130">
        <v>590</v>
      </c>
      <c r="G649" s="130"/>
      <c r="H649" s="130">
        <v>590</v>
      </c>
      <c r="I649" s="130">
        <v>0</v>
      </c>
      <c r="J649" s="130"/>
      <c r="K649" s="130">
        <v>0</v>
      </c>
      <c r="L649" s="130">
        <v>0</v>
      </c>
      <c r="M649" s="130"/>
      <c r="N649" s="130">
        <v>0</v>
      </c>
    </row>
    <row r="650" spans="1:14" ht="38.25" x14ac:dyDescent="0.25">
      <c r="A650" s="24" t="s">
        <v>775</v>
      </c>
      <c r="B650" s="17"/>
      <c r="C650" s="1" t="s">
        <v>776</v>
      </c>
      <c r="D650" s="130"/>
      <c r="E650" s="146">
        <v>205.6</v>
      </c>
      <c r="F650" s="130">
        <v>205.6</v>
      </c>
      <c r="G650" s="130"/>
      <c r="H650" s="130">
        <v>205.6</v>
      </c>
      <c r="I650" s="130">
        <v>0</v>
      </c>
      <c r="J650" s="130"/>
      <c r="K650" s="130">
        <v>0</v>
      </c>
      <c r="L650" s="130">
        <v>0</v>
      </c>
      <c r="M650" s="130"/>
      <c r="N650" s="130">
        <v>0</v>
      </c>
    </row>
    <row r="651" spans="1:14" ht="25.5" x14ac:dyDescent="0.25">
      <c r="A651" s="18"/>
      <c r="B651" s="17" t="s">
        <v>336</v>
      </c>
      <c r="C651" s="1" t="s">
        <v>337</v>
      </c>
      <c r="D651" s="130"/>
      <c r="E651" s="146">
        <v>205.6</v>
      </c>
      <c r="F651" s="130">
        <v>205.6</v>
      </c>
      <c r="G651" s="130"/>
      <c r="H651" s="130">
        <v>205.6</v>
      </c>
      <c r="I651" s="130">
        <v>0</v>
      </c>
      <c r="J651" s="130"/>
      <c r="K651" s="130">
        <v>0</v>
      </c>
      <c r="L651" s="130">
        <v>0</v>
      </c>
      <c r="M651" s="130"/>
      <c r="N651" s="130">
        <v>0</v>
      </c>
    </row>
    <row r="652" spans="1:14" ht="38.25" x14ac:dyDescent="0.25">
      <c r="A652" s="24" t="s">
        <v>783</v>
      </c>
      <c r="B652" s="17"/>
      <c r="C652" s="1" t="s">
        <v>784</v>
      </c>
      <c r="D652" s="130"/>
      <c r="E652" s="146">
        <v>129.5</v>
      </c>
      <c r="F652" s="130">
        <v>129.5</v>
      </c>
      <c r="G652" s="130">
        <f>G653</f>
        <v>-14.6</v>
      </c>
      <c r="H652" s="130">
        <f>H653</f>
        <v>114.9</v>
      </c>
      <c r="I652" s="130">
        <v>0</v>
      </c>
      <c r="J652" s="130"/>
      <c r="K652" s="130">
        <v>0</v>
      </c>
      <c r="L652" s="130">
        <v>0</v>
      </c>
      <c r="M652" s="130"/>
      <c r="N652" s="130">
        <v>0</v>
      </c>
    </row>
    <row r="653" spans="1:14" ht="25.5" x14ac:dyDescent="0.25">
      <c r="A653" s="18"/>
      <c r="B653" s="17" t="s">
        <v>608</v>
      </c>
      <c r="C653" s="1" t="s">
        <v>609</v>
      </c>
      <c r="D653" s="130"/>
      <c r="E653" s="146">
        <v>129.5</v>
      </c>
      <c r="F653" s="130">
        <v>129.5</v>
      </c>
      <c r="G653" s="130">
        <v>-14.6</v>
      </c>
      <c r="H653" s="130">
        <f>129.5-14.6</f>
        <v>114.9</v>
      </c>
      <c r="I653" s="130">
        <v>0</v>
      </c>
      <c r="J653" s="130"/>
      <c r="K653" s="130">
        <v>0</v>
      </c>
      <c r="L653" s="130">
        <v>0</v>
      </c>
      <c r="M653" s="130"/>
      <c r="N653" s="130">
        <v>0</v>
      </c>
    </row>
    <row r="654" spans="1:14" x14ac:dyDescent="0.25">
      <c r="A654" s="24" t="s">
        <v>832</v>
      </c>
      <c r="B654" s="17"/>
      <c r="C654" s="207" t="s">
        <v>831</v>
      </c>
      <c r="D654" s="130"/>
      <c r="E654" s="146"/>
      <c r="F654" s="130">
        <f>F655</f>
        <v>41.84</v>
      </c>
      <c r="G654" s="130"/>
      <c r="H654" s="130">
        <f>H655</f>
        <v>41.84</v>
      </c>
      <c r="I654" s="130"/>
      <c r="J654" s="130"/>
      <c r="K654" s="130">
        <v>0</v>
      </c>
      <c r="L654" s="130"/>
      <c r="M654" s="130"/>
      <c r="N654" s="130">
        <v>0</v>
      </c>
    </row>
    <row r="655" spans="1:14" ht="25.5" x14ac:dyDescent="0.25">
      <c r="A655" s="18"/>
      <c r="B655" s="17" t="s">
        <v>336</v>
      </c>
      <c r="C655" s="1" t="s">
        <v>337</v>
      </c>
      <c r="D655" s="130"/>
      <c r="E655" s="146"/>
      <c r="F655" s="130">
        <v>41.84</v>
      </c>
      <c r="G655" s="130"/>
      <c r="H655" s="130">
        <f>F655</f>
        <v>41.84</v>
      </c>
      <c r="I655" s="130"/>
      <c r="J655" s="130"/>
      <c r="K655" s="130">
        <v>0</v>
      </c>
      <c r="L655" s="130"/>
      <c r="M655" s="130"/>
      <c r="N655" s="130">
        <v>0</v>
      </c>
    </row>
    <row r="656" spans="1:14" ht="25.5" x14ac:dyDescent="0.25">
      <c r="A656" s="24" t="s">
        <v>917</v>
      </c>
      <c r="B656" s="17"/>
      <c r="C656" s="23" t="s">
        <v>916</v>
      </c>
      <c r="D656" s="130"/>
      <c r="E656" s="146"/>
      <c r="F656" s="130"/>
      <c r="G656" s="130">
        <f>G657</f>
        <v>67.8</v>
      </c>
      <c r="H656" s="130">
        <f>H657</f>
        <v>67.8</v>
      </c>
      <c r="I656" s="130"/>
      <c r="J656" s="130"/>
      <c r="K656" s="130">
        <v>0</v>
      </c>
      <c r="L656" s="130"/>
      <c r="M656" s="130"/>
      <c r="N656" s="130">
        <v>0</v>
      </c>
    </row>
    <row r="657" spans="1:15" ht="25.5" x14ac:dyDescent="0.25">
      <c r="A657" s="18"/>
      <c r="B657" s="17" t="s">
        <v>608</v>
      </c>
      <c r="C657" s="1" t="s">
        <v>609</v>
      </c>
      <c r="D657" s="130"/>
      <c r="E657" s="146"/>
      <c r="F657" s="130"/>
      <c r="G657" s="130">
        <v>67.8</v>
      </c>
      <c r="H657" s="130">
        <f>G657</f>
        <v>67.8</v>
      </c>
      <c r="I657" s="130"/>
      <c r="J657" s="130"/>
      <c r="K657" s="130">
        <v>0</v>
      </c>
      <c r="L657" s="130"/>
      <c r="M657" s="130"/>
      <c r="N657" s="130">
        <v>0</v>
      </c>
    </row>
    <row r="658" spans="1:15" x14ac:dyDescent="0.25">
      <c r="A658" s="75"/>
      <c r="B658" s="75"/>
      <c r="C658" s="71" t="s">
        <v>542</v>
      </c>
      <c r="D658" s="155" t="e">
        <f t="shared" ref="D658:K658" si="61">D8+D599</f>
        <v>#REF!</v>
      </c>
      <c r="E658" s="155" t="e">
        <f t="shared" si="61"/>
        <v>#REF!</v>
      </c>
      <c r="F658" s="155">
        <f t="shared" si="61"/>
        <v>894080.88795999996</v>
      </c>
      <c r="G658" s="155">
        <f t="shared" si="61"/>
        <v>-10590.932310000002</v>
      </c>
      <c r="H658" s="155">
        <f t="shared" si="61"/>
        <v>883489.95565000002</v>
      </c>
      <c r="I658" s="155">
        <f t="shared" si="61"/>
        <v>853897.95914999989</v>
      </c>
      <c r="J658" s="155">
        <f t="shared" si="61"/>
        <v>0</v>
      </c>
      <c r="K658" s="155">
        <f t="shared" si="61"/>
        <v>853992.35914999992</v>
      </c>
      <c r="L658" s="155">
        <f>L8+L599+0.04</f>
        <v>866584.45775000006</v>
      </c>
      <c r="M658" s="155">
        <f>M8+M599</f>
        <v>0</v>
      </c>
      <c r="N658" s="155">
        <f>N8+N599+0.04</f>
        <v>866682.25775000011</v>
      </c>
      <c r="O658" s="76"/>
    </row>
    <row r="659" spans="1:15" ht="14.45" x14ac:dyDescent="0.3">
      <c r="F659" s="205"/>
      <c r="K659" s="295" t="s">
        <v>840</v>
      </c>
      <c r="L659" s="295"/>
      <c r="M659" s="295"/>
      <c r="N659" s="295" t="s">
        <v>840</v>
      </c>
    </row>
    <row r="660" spans="1:15" ht="14.45" x14ac:dyDescent="0.3">
      <c r="F660" s="206"/>
      <c r="K660" s="206" t="s">
        <v>840</v>
      </c>
      <c r="L660" s="206">
        <f t="shared" ref="L660:M660" si="62">L658-L659</f>
        <v>866584.45775000006</v>
      </c>
      <c r="M660" s="206">
        <f t="shared" si="62"/>
        <v>0</v>
      </c>
      <c r="N660" s="206" t="s">
        <v>840</v>
      </c>
    </row>
    <row r="661" spans="1:15" ht="14.45" x14ac:dyDescent="0.3">
      <c r="I661" s="206"/>
    </row>
  </sheetData>
  <autoFilter ref="A7:W658"/>
  <mergeCells count="7">
    <mergeCell ref="V194:W194"/>
    <mergeCell ref="T194:U194"/>
    <mergeCell ref="A6:L6"/>
    <mergeCell ref="H1:N1"/>
    <mergeCell ref="H2:N2"/>
    <mergeCell ref="H3:N3"/>
    <mergeCell ref="H4:N4"/>
  </mergeCells>
  <pageMargins left="1.1023622047244095" right="0.31496062992125984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4"/>
  <sheetViews>
    <sheetView tabSelected="1" view="pageBreakPreview" topLeftCell="A890" zoomScale="85" zoomScaleNormal="85" zoomScaleSheetLayoutView="85" workbookViewId="0">
      <selection activeCell="M97" sqref="M97"/>
    </sheetView>
  </sheetViews>
  <sheetFormatPr defaultColWidth="9.140625" defaultRowHeight="15" x14ac:dyDescent="0.25"/>
  <cols>
    <col min="1" max="2" width="9.140625" style="28"/>
    <col min="3" max="3" width="14.42578125" style="28" customWidth="1"/>
    <col min="4" max="4" width="7.5703125" style="28" customWidth="1"/>
    <col min="5" max="5" width="62" style="28" customWidth="1"/>
    <col min="6" max="6" width="0.42578125" style="28" hidden="1" customWidth="1"/>
    <col min="7" max="7" width="13.7109375" style="28" hidden="1" customWidth="1"/>
    <col min="8" max="8" width="14.28515625" style="28" hidden="1" customWidth="1"/>
    <col min="9" max="9" width="14.42578125" style="28" hidden="1" customWidth="1"/>
    <col min="10" max="10" width="13.7109375" style="28" customWidth="1"/>
    <col min="11" max="11" width="13.85546875" style="28" hidden="1" customWidth="1"/>
    <col min="12" max="12" width="13.7109375" style="28" hidden="1" customWidth="1"/>
    <col min="13" max="13" width="13.7109375" style="28" customWidth="1"/>
    <col min="14" max="15" width="14.140625" style="28" hidden="1" customWidth="1"/>
    <col min="16" max="16" width="13.7109375" style="28" customWidth="1"/>
    <col min="17" max="17" width="11.140625" style="28" customWidth="1"/>
    <col min="18" max="18" width="9.28515625" style="28" bestFit="1" customWidth="1"/>
    <col min="19" max="20" width="9.140625" style="28"/>
    <col min="21" max="22" width="9.28515625" style="28" bestFit="1" customWidth="1"/>
    <col min="23" max="16384" width="9.140625" style="28"/>
  </cols>
  <sheetData>
    <row r="1" spans="1:16" ht="15.75" x14ac:dyDescent="0.25">
      <c r="C1" s="26"/>
      <c r="D1" s="26"/>
      <c r="E1" s="26"/>
      <c r="F1" s="27"/>
      <c r="G1" s="27"/>
      <c r="H1" s="27"/>
      <c r="I1" s="27"/>
      <c r="J1" s="298" t="s">
        <v>714</v>
      </c>
      <c r="K1" s="298"/>
      <c r="L1" s="298"/>
      <c r="M1" s="298"/>
      <c r="N1" s="298"/>
      <c r="O1" s="298"/>
      <c r="P1" s="298"/>
    </row>
    <row r="2" spans="1:16" ht="15.75" x14ac:dyDescent="0.25">
      <c r="C2" s="26"/>
      <c r="D2" s="26"/>
      <c r="E2" s="114"/>
      <c r="F2" s="115"/>
      <c r="G2" s="115"/>
      <c r="H2" s="115"/>
      <c r="I2" s="115"/>
      <c r="J2" s="299" t="s">
        <v>715</v>
      </c>
      <c r="K2" s="299"/>
      <c r="L2" s="299"/>
      <c r="M2" s="299"/>
      <c r="N2" s="299"/>
      <c r="O2" s="299"/>
      <c r="P2" s="299"/>
    </row>
    <row r="3" spans="1:16" ht="15.75" x14ac:dyDescent="0.25">
      <c r="C3" s="29"/>
      <c r="D3" s="29"/>
      <c r="E3" s="311"/>
      <c r="F3" s="311"/>
      <c r="G3" s="311"/>
      <c r="H3" s="311"/>
      <c r="I3" s="311"/>
      <c r="J3" s="312" t="s">
        <v>720</v>
      </c>
      <c r="K3" s="312"/>
      <c r="L3" s="312"/>
      <c r="M3" s="312"/>
      <c r="N3" s="312"/>
      <c r="O3" s="312"/>
      <c r="P3" s="312"/>
    </row>
    <row r="4" spans="1:16" ht="15.75" x14ac:dyDescent="0.25">
      <c r="C4" s="26"/>
      <c r="D4" s="26"/>
      <c r="E4" s="26"/>
      <c r="F4" s="129"/>
      <c r="G4" s="129"/>
      <c r="H4" s="129"/>
      <c r="I4" s="129"/>
      <c r="J4" s="299" t="s">
        <v>920</v>
      </c>
      <c r="K4" s="299"/>
      <c r="L4" s="299"/>
      <c r="M4" s="299"/>
      <c r="N4" s="299"/>
      <c r="O4" s="299"/>
      <c r="P4" s="299"/>
    </row>
    <row r="5" spans="1:16" ht="15.75" x14ac:dyDescent="0.25">
      <c r="C5" s="26"/>
      <c r="D5" s="26"/>
      <c r="E5" s="26"/>
      <c r="F5" s="129"/>
      <c r="G5" s="129"/>
      <c r="H5" s="129"/>
      <c r="I5" s="129"/>
      <c r="J5" s="129"/>
      <c r="K5" s="129"/>
      <c r="L5" s="129"/>
      <c r="M5" s="129"/>
      <c r="N5" s="112"/>
      <c r="O5" s="112"/>
      <c r="P5" s="112"/>
    </row>
    <row r="6" spans="1:16" ht="30" customHeight="1" x14ac:dyDescent="0.25">
      <c r="A6" s="297" t="s">
        <v>745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03"/>
      <c r="P6" s="203"/>
    </row>
    <row r="7" spans="1:16" ht="46.15" customHeight="1" x14ac:dyDescent="0.25">
      <c r="A7" s="173" t="s">
        <v>612</v>
      </c>
      <c r="B7" s="173" t="s">
        <v>613</v>
      </c>
      <c r="C7" s="174" t="s">
        <v>0</v>
      </c>
      <c r="D7" s="174" t="s">
        <v>1</v>
      </c>
      <c r="E7" s="174" t="s">
        <v>2</v>
      </c>
      <c r="F7" s="174" t="s">
        <v>3</v>
      </c>
      <c r="G7" s="174" t="s">
        <v>768</v>
      </c>
      <c r="H7" s="174" t="s">
        <v>3</v>
      </c>
      <c r="I7" s="172" t="s">
        <v>768</v>
      </c>
      <c r="J7" s="172" t="s">
        <v>918</v>
      </c>
      <c r="K7" s="172" t="s">
        <v>4</v>
      </c>
      <c r="L7" s="172" t="s">
        <v>768</v>
      </c>
      <c r="M7" s="172" t="s">
        <v>922</v>
      </c>
      <c r="N7" s="172" t="s">
        <v>5</v>
      </c>
      <c r="O7" s="172" t="s">
        <v>768</v>
      </c>
      <c r="P7" s="172" t="s">
        <v>919</v>
      </c>
    </row>
    <row r="8" spans="1:16" ht="26.45" x14ac:dyDescent="0.3">
      <c r="A8" s="83">
        <v>601</v>
      </c>
      <c r="B8" s="83"/>
      <c r="C8" s="83"/>
      <c r="D8" s="83"/>
      <c r="E8" s="84" t="s">
        <v>614</v>
      </c>
      <c r="F8" s="152">
        <f>F9+F114+F123+F171+F277+F440+F463+F478</f>
        <v>319145.99200000003</v>
      </c>
      <c r="G8" s="152">
        <f>G9+G114+G123+G171+G277+G440+G463+G478</f>
        <v>11344.36915</v>
      </c>
      <c r="H8" s="152">
        <f>H9+H114+H123+H171+H277+H440+H463+H478+H472</f>
        <v>331568.60106999998</v>
      </c>
      <c r="I8" s="152">
        <f>I9+I114+I123+I171+I277+I440+I463+I478+I472</f>
        <v>-9641.0590400000001</v>
      </c>
      <c r="J8" s="152">
        <f>J9+J114+J123+J171+J277+J440+J463+J478+J472</f>
        <v>321927.54202999995</v>
      </c>
      <c r="K8" s="152">
        <f>K9+K114+K123+K171+K277+K440+K463+K478</f>
        <v>304876.95915000001</v>
      </c>
      <c r="L8" s="152">
        <f>L9+L114+L123+L171+L277+L440+L463+L478</f>
        <v>0</v>
      </c>
      <c r="M8" s="152">
        <f>M9+M114+M123+M171+M277+M440+M463+M478</f>
        <v>304971.35915000003</v>
      </c>
      <c r="N8" s="152">
        <f>N9+N114+N123+N171+N277+N440+N478</f>
        <v>319128.61774999998</v>
      </c>
      <c r="O8" s="152">
        <f>O9+O114+O123+O171+O277+O440+O478</f>
        <v>0</v>
      </c>
      <c r="P8" s="152">
        <f>P9+P114+P123+P171+P277+P440+P478</f>
        <v>319226.41774999996</v>
      </c>
    </row>
    <row r="9" spans="1:16" ht="14.45" x14ac:dyDescent="0.3">
      <c r="A9" s="85"/>
      <c r="B9" s="18" t="s">
        <v>615</v>
      </c>
      <c r="C9" s="86"/>
      <c r="D9" s="85"/>
      <c r="E9" s="87" t="s">
        <v>752</v>
      </c>
      <c r="F9" s="156">
        <f t="shared" ref="F9:P9" si="0">F10+F17+F52+F59</f>
        <v>79171.900000000009</v>
      </c>
      <c r="G9" s="156">
        <f t="shared" si="0"/>
        <v>3754.1000000000004</v>
      </c>
      <c r="H9" s="156">
        <f t="shared" si="0"/>
        <v>85329</v>
      </c>
      <c r="I9" s="156">
        <f t="shared" si="0"/>
        <v>279.89999999999998</v>
      </c>
      <c r="J9" s="156">
        <f t="shared" si="0"/>
        <v>85608.9</v>
      </c>
      <c r="K9" s="156">
        <f t="shared" si="0"/>
        <v>82076.90155000001</v>
      </c>
      <c r="L9" s="156">
        <f t="shared" si="0"/>
        <v>0</v>
      </c>
      <c r="M9" s="156">
        <f t="shared" si="0"/>
        <v>82171.301550000004</v>
      </c>
      <c r="N9" s="156">
        <f t="shared" si="0"/>
        <v>83870.26483</v>
      </c>
      <c r="O9" s="156">
        <f t="shared" si="0"/>
        <v>0</v>
      </c>
      <c r="P9" s="156">
        <f t="shared" si="0"/>
        <v>83968.064830000003</v>
      </c>
    </row>
    <row r="10" spans="1:16" ht="26.45" x14ac:dyDescent="0.3">
      <c r="A10" s="85"/>
      <c r="B10" s="18" t="s">
        <v>616</v>
      </c>
      <c r="C10" s="86"/>
      <c r="D10" s="85"/>
      <c r="E10" s="87" t="s">
        <v>617</v>
      </c>
      <c r="F10" s="156">
        <f>F11</f>
        <v>2036.9</v>
      </c>
      <c r="G10" s="156"/>
      <c r="H10" s="156">
        <f t="shared" ref="H10:P10" si="1">H11</f>
        <v>2097.6999999999998</v>
      </c>
      <c r="I10" s="156">
        <f t="shared" si="1"/>
        <v>93.3</v>
      </c>
      <c r="J10" s="156">
        <f t="shared" si="1"/>
        <v>2191</v>
      </c>
      <c r="K10" s="156">
        <f t="shared" si="1"/>
        <v>2209.4</v>
      </c>
      <c r="L10" s="156">
        <f t="shared" si="1"/>
        <v>0</v>
      </c>
      <c r="M10" s="156">
        <f t="shared" si="1"/>
        <v>2303.8000000000002</v>
      </c>
      <c r="N10" s="156">
        <f t="shared" si="1"/>
        <v>2209.4</v>
      </c>
      <c r="O10" s="156">
        <f t="shared" si="1"/>
        <v>0</v>
      </c>
      <c r="P10" s="156">
        <f t="shared" si="1"/>
        <v>2307.2000000000003</v>
      </c>
    </row>
    <row r="11" spans="1:16" ht="24" x14ac:dyDescent="0.3">
      <c r="A11" s="85"/>
      <c r="B11" s="18"/>
      <c r="C11" s="92" t="s">
        <v>6</v>
      </c>
      <c r="D11" s="30"/>
      <c r="E11" s="31" t="s">
        <v>7</v>
      </c>
      <c r="F11" s="156">
        <f>F12</f>
        <v>2036.9</v>
      </c>
      <c r="G11" s="156"/>
      <c r="H11" s="156">
        <f t="shared" ref="H11:J14" si="2">H12</f>
        <v>2097.6999999999998</v>
      </c>
      <c r="I11" s="156">
        <f t="shared" si="2"/>
        <v>93.3</v>
      </c>
      <c r="J11" s="156">
        <f t="shared" si="2"/>
        <v>2191</v>
      </c>
      <c r="K11" s="156">
        <f t="shared" ref="K11:P14" si="3">K12</f>
        <v>2209.4</v>
      </c>
      <c r="L11" s="156">
        <f t="shared" si="3"/>
        <v>0</v>
      </c>
      <c r="M11" s="156">
        <f t="shared" si="3"/>
        <v>2303.8000000000002</v>
      </c>
      <c r="N11" s="156">
        <f t="shared" si="3"/>
        <v>2209.4</v>
      </c>
      <c r="O11" s="156">
        <f t="shared" si="3"/>
        <v>0</v>
      </c>
      <c r="P11" s="156">
        <f t="shared" si="3"/>
        <v>2307.2000000000003</v>
      </c>
    </row>
    <row r="12" spans="1:16" ht="39.6" x14ac:dyDescent="0.3">
      <c r="A12" s="93"/>
      <c r="B12" s="94"/>
      <c r="C12" s="95" t="s">
        <v>8</v>
      </c>
      <c r="D12" s="94"/>
      <c r="E12" s="96" t="s">
        <v>9</v>
      </c>
      <c r="F12" s="138">
        <f>F13</f>
        <v>2036.9</v>
      </c>
      <c r="G12" s="138"/>
      <c r="H12" s="138">
        <f t="shared" si="2"/>
        <v>2097.6999999999998</v>
      </c>
      <c r="I12" s="138">
        <f t="shared" si="2"/>
        <v>93.3</v>
      </c>
      <c r="J12" s="138">
        <f t="shared" si="2"/>
        <v>2191</v>
      </c>
      <c r="K12" s="138">
        <f t="shared" si="3"/>
        <v>2209.4</v>
      </c>
      <c r="L12" s="138">
        <f t="shared" si="3"/>
        <v>0</v>
      </c>
      <c r="M12" s="138">
        <f t="shared" si="3"/>
        <v>2303.8000000000002</v>
      </c>
      <c r="N12" s="138">
        <f t="shared" si="3"/>
        <v>2209.4</v>
      </c>
      <c r="O12" s="138">
        <f t="shared" si="3"/>
        <v>0</v>
      </c>
      <c r="P12" s="138">
        <f t="shared" si="3"/>
        <v>2307.2000000000003</v>
      </c>
    </row>
    <row r="13" spans="1:16" ht="40.15" x14ac:dyDescent="0.3">
      <c r="A13" s="34"/>
      <c r="B13" s="34"/>
      <c r="C13" s="34" t="s">
        <v>25</v>
      </c>
      <c r="D13" s="34"/>
      <c r="E13" s="38" t="s">
        <v>26</v>
      </c>
      <c r="F13" s="139">
        <f>F14</f>
        <v>2036.9</v>
      </c>
      <c r="G13" s="139"/>
      <c r="H13" s="139">
        <f t="shared" si="2"/>
        <v>2097.6999999999998</v>
      </c>
      <c r="I13" s="139">
        <f t="shared" si="2"/>
        <v>93.3</v>
      </c>
      <c r="J13" s="139">
        <f t="shared" si="2"/>
        <v>2191</v>
      </c>
      <c r="K13" s="139">
        <f t="shared" si="3"/>
        <v>2209.4</v>
      </c>
      <c r="L13" s="139">
        <f t="shared" si="3"/>
        <v>0</v>
      </c>
      <c r="M13" s="139">
        <f t="shared" si="3"/>
        <v>2303.8000000000002</v>
      </c>
      <c r="N13" s="139">
        <f t="shared" si="3"/>
        <v>2209.4</v>
      </c>
      <c r="O13" s="139">
        <f t="shared" si="3"/>
        <v>0</v>
      </c>
      <c r="P13" s="139">
        <f t="shared" si="3"/>
        <v>2307.2000000000003</v>
      </c>
    </row>
    <row r="14" spans="1:16" ht="40.15" x14ac:dyDescent="0.3">
      <c r="A14" s="36"/>
      <c r="B14" s="36"/>
      <c r="C14" s="36" t="s">
        <v>27</v>
      </c>
      <c r="D14" s="36"/>
      <c r="E14" s="37" t="s">
        <v>28</v>
      </c>
      <c r="F14" s="131">
        <f>F15</f>
        <v>2036.9</v>
      </c>
      <c r="G14" s="131"/>
      <c r="H14" s="131">
        <f t="shared" si="2"/>
        <v>2097.6999999999998</v>
      </c>
      <c r="I14" s="131">
        <f t="shared" si="2"/>
        <v>93.3</v>
      </c>
      <c r="J14" s="131">
        <f t="shared" si="2"/>
        <v>2191</v>
      </c>
      <c r="K14" s="131">
        <f t="shared" si="3"/>
        <v>2209.4</v>
      </c>
      <c r="L14" s="131">
        <f t="shared" si="3"/>
        <v>0</v>
      </c>
      <c r="M14" s="131">
        <f t="shared" si="3"/>
        <v>2303.8000000000002</v>
      </c>
      <c r="N14" s="131">
        <f t="shared" si="3"/>
        <v>2209.4</v>
      </c>
      <c r="O14" s="131">
        <f t="shared" si="3"/>
        <v>0</v>
      </c>
      <c r="P14" s="131">
        <f t="shared" si="3"/>
        <v>2307.2000000000003</v>
      </c>
    </row>
    <row r="15" spans="1:16" ht="27" x14ac:dyDescent="0.3">
      <c r="A15" s="81"/>
      <c r="B15" s="81"/>
      <c r="C15" s="7" t="s">
        <v>29</v>
      </c>
      <c r="D15" s="7"/>
      <c r="E15" s="3" t="s">
        <v>30</v>
      </c>
      <c r="F15" s="130">
        <v>2036.9</v>
      </c>
      <c r="G15" s="130"/>
      <c r="H15" s="130">
        <f t="shared" ref="H15:P15" si="4">H16</f>
        <v>2097.6999999999998</v>
      </c>
      <c r="I15" s="130">
        <f t="shared" si="4"/>
        <v>93.3</v>
      </c>
      <c r="J15" s="130">
        <f t="shared" si="4"/>
        <v>2191</v>
      </c>
      <c r="K15" s="130">
        <f t="shared" si="4"/>
        <v>2209.4</v>
      </c>
      <c r="L15" s="130">
        <f t="shared" si="4"/>
        <v>0</v>
      </c>
      <c r="M15" s="130">
        <f t="shared" si="4"/>
        <v>2303.8000000000002</v>
      </c>
      <c r="N15" s="130">
        <f t="shared" si="4"/>
        <v>2209.4</v>
      </c>
      <c r="O15" s="130">
        <f t="shared" si="4"/>
        <v>0</v>
      </c>
      <c r="P15" s="130">
        <f t="shared" si="4"/>
        <v>2307.2000000000003</v>
      </c>
    </row>
    <row r="16" spans="1:16" ht="40.15" x14ac:dyDescent="0.3">
      <c r="A16" s="81"/>
      <c r="B16" s="81"/>
      <c r="C16" s="7"/>
      <c r="D16" s="7" t="s">
        <v>505</v>
      </c>
      <c r="E16" s="3" t="s">
        <v>506</v>
      </c>
      <c r="F16" s="130">
        <v>2036.9</v>
      </c>
      <c r="G16" s="130"/>
      <c r="H16" s="130">
        <v>2097.6999999999998</v>
      </c>
      <c r="I16" s="278">
        <v>93.3</v>
      </c>
      <c r="J16" s="130">
        <f>SUM(H16:I16)</f>
        <v>2191</v>
      </c>
      <c r="K16" s="130">
        <v>2209.4</v>
      </c>
      <c r="L16" s="130"/>
      <c r="M16" s="130">
        <f>SUM(K16:L16)+94.4</f>
        <v>2303.8000000000002</v>
      </c>
      <c r="N16" s="130">
        <v>2209.4</v>
      </c>
      <c r="O16" s="130"/>
      <c r="P16" s="130">
        <f>SUM(N16:O16)+97.8</f>
        <v>2307.2000000000003</v>
      </c>
    </row>
    <row r="17" spans="1:16" s="48" customFormat="1" ht="40.15" x14ac:dyDescent="0.3">
      <c r="A17" s="89"/>
      <c r="B17" s="18" t="s">
        <v>618</v>
      </c>
      <c r="C17" s="13"/>
      <c r="D17" s="13"/>
      <c r="E17" s="88" t="s">
        <v>619</v>
      </c>
      <c r="F17" s="137">
        <f t="shared" ref="F17:K17" si="5">F18+F48</f>
        <v>43853.500000000007</v>
      </c>
      <c r="G17" s="137">
        <f t="shared" si="5"/>
        <v>636</v>
      </c>
      <c r="H17" s="137">
        <f t="shared" si="5"/>
        <v>44713.400000000009</v>
      </c>
      <c r="I17" s="137">
        <f t="shared" si="5"/>
        <v>0</v>
      </c>
      <c r="J17" s="137">
        <f t="shared" si="5"/>
        <v>44713.400000000009</v>
      </c>
      <c r="K17" s="137">
        <f t="shared" si="5"/>
        <v>47078.6</v>
      </c>
      <c r="L17" s="137">
        <f>L18+L48</f>
        <v>0</v>
      </c>
      <c r="M17" s="137">
        <f>M18+M48</f>
        <v>47078.6</v>
      </c>
      <c r="N17" s="137">
        <f>N18+N48</f>
        <v>48297.200000000004</v>
      </c>
      <c r="O17" s="137">
        <f>O18+O48</f>
        <v>0</v>
      </c>
      <c r="P17" s="137">
        <f>P18+P48</f>
        <v>48297.200000000004</v>
      </c>
    </row>
    <row r="18" spans="1:16" s="48" customFormat="1" ht="24" x14ac:dyDescent="0.3">
      <c r="A18" s="89"/>
      <c r="B18" s="18"/>
      <c r="C18" s="92" t="s">
        <v>6</v>
      </c>
      <c r="D18" s="30"/>
      <c r="E18" s="31" t="s">
        <v>7</v>
      </c>
      <c r="F18" s="137">
        <f t="shared" ref="F18:K18" si="6">F19+F43</f>
        <v>43850.200000000004</v>
      </c>
      <c r="G18" s="137">
        <f t="shared" si="6"/>
        <v>636</v>
      </c>
      <c r="H18" s="137">
        <f t="shared" si="6"/>
        <v>44710.100000000006</v>
      </c>
      <c r="I18" s="137">
        <f t="shared" si="6"/>
        <v>0</v>
      </c>
      <c r="J18" s="137">
        <f t="shared" si="6"/>
        <v>44710.100000000006</v>
      </c>
      <c r="K18" s="137">
        <f t="shared" si="6"/>
        <v>47075.1</v>
      </c>
      <c r="L18" s="137">
        <f>L19+L43</f>
        <v>0</v>
      </c>
      <c r="M18" s="137">
        <f>M19+M43</f>
        <v>47075.1</v>
      </c>
      <c r="N18" s="137">
        <f>N19+N43</f>
        <v>48293.700000000004</v>
      </c>
      <c r="O18" s="137">
        <f>O19+O43</f>
        <v>0</v>
      </c>
      <c r="P18" s="137">
        <f>P19+P43</f>
        <v>48293.700000000004</v>
      </c>
    </row>
    <row r="19" spans="1:16" ht="39.6" x14ac:dyDescent="0.3">
      <c r="A19" s="93"/>
      <c r="B19" s="94"/>
      <c r="C19" s="95" t="s">
        <v>8</v>
      </c>
      <c r="D19" s="94"/>
      <c r="E19" s="96" t="s">
        <v>9</v>
      </c>
      <c r="F19" s="138">
        <f t="shared" ref="F19:K19" si="7">F20+F25</f>
        <v>43784.100000000006</v>
      </c>
      <c r="G19" s="138">
        <f t="shared" si="7"/>
        <v>636</v>
      </c>
      <c r="H19" s="138">
        <f t="shared" si="7"/>
        <v>44644.000000000007</v>
      </c>
      <c r="I19" s="138">
        <f t="shared" si="7"/>
        <v>0</v>
      </c>
      <c r="J19" s="138">
        <f t="shared" si="7"/>
        <v>44644.000000000007</v>
      </c>
      <c r="K19" s="138">
        <f t="shared" si="7"/>
        <v>47006.2</v>
      </c>
      <c r="L19" s="138">
        <f>L20+L25</f>
        <v>0</v>
      </c>
      <c r="M19" s="138">
        <f>M20+M25</f>
        <v>47006.2</v>
      </c>
      <c r="N19" s="138">
        <f>N20+N25</f>
        <v>48224.800000000003</v>
      </c>
      <c r="O19" s="138">
        <f>O20+O25</f>
        <v>0</v>
      </c>
      <c r="P19" s="138">
        <f>P20+P25</f>
        <v>48224.800000000003</v>
      </c>
    </row>
    <row r="20" spans="1:16" ht="40.15" x14ac:dyDescent="0.3">
      <c r="A20" s="34"/>
      <c r="B20" s="34"/>
      <c r="C20" s="34" t="s">
        <v>25</v>
      </c>
      <c r="D20" s="34"/>
      <c r="E20" s="38" t="s">
        <v>26</v>
      </c>
      <c r="F20" s="139">
        <f t="shared" ref="F20:J21" si="8">F21</f>
        <v>41872.800000000003</v>
      </c>
      <c r="G20" s="139">
        <f t="shared" si="8"/>
        <v>636</v>
      </c>
      <c r="H20" s="139">
        <f t="shared" si="8"/>
        <v>42732.700000000004</v>
      </c>
      <c r="I20" s="139">
        <f t="shared" si="8"/>
        <v>0</v>
      </c>
      <c r="J20" s="139">
        <f t="shared" si="8"/>
        <v>42732.700000000004</v>
      </c>
      <c r="K20" s="139">
        <f t="shared" ref="K20:P21" si="9">K21</f>
        <v>45017</v>
      </c>
      <c r="L20" s="139">
        <f t="shared" si="9"/>
        <v>0</v>
      </c>
      <c r="M20" s="139">
        <f t="shared" si="9"/>
        <v>45017</v>
      </c>
      <c r="N20" s="139">
        <f t="shared" si="9"/>
        <v>46235.600000000006</v>
      </c>
      <c r="O20" s="139">
        <f t="shared" si="9"/>
        <v>0</v>
      </c>
      <c r="P20" s="139">
        <f t="shared" si="9"/>
        <v>46235.600000000006</v>
      </c>
    </row>
    <row r="21" spans="1:16" ht="40.15" x14ac:dyDescent="0.3">
      <c r="A21" s="36"/>
      <c r="B21" s="36"/>
      <c r="C21" s="36" t="s">
        <v>27</v>
      </c>
      <c r="D21" s="36"/>
      <c r="E21" s="37" t="s">
        <v>28</v>
      </c>
      <c r="F21" s="131">
        <f t="shared" si="8"/>
        <v>41872.800000000003</v>
      </c>
      <c r="G21" s="131">
        <f t="shared" si="8"/>
        <v>636</v>
      </c>
      <c r="H21" s="131">
        <f t="shared" si="8"/>
        <v>42732.700000000004</v>
      </c>
      <c r="I21" s="131">
        <f t="shared" si="8"/>
        <v>0</v>
      </c>
      <c r="J21" s="131">
        <f t="shared" si="8"/>
        <v>42732.700000000004</v>
      </c>
      <c r="K21" s="131">
        <f t="shared" si="9"/>
        <v>45017</v>
      </c>
      <c r="L21" s="131">
        <f t="shared" si="9"/>
        <v>0</v>
      </c>
      <c r="M21" s="131">
        <f t="shared" si="9"/>
        <v>45017</v>
      </c>
      <c r="N21" s="131">
        <f t="shared" si="9"/>
        <v>46235.600000000006</v>
      </c>
      <c r="O21" s="131">
        <f t="shared" si="9"/>
        <v>0</v>
      </c>
      <c r="P21" s="131">
        <f t="shared" si="9"/>
        <v>46235.600000000006</v>
      </c>
    </row>
    <row r="22" spans="1:16" ht="26.45" x14ac:dyDescent="0.3">
      <c r="A22" s="81"/>
      <c r="B22" s="81"/>
      <c r="C22" s="7" t="s">
        <v>31</v>
      </c>
      <c r="D22" s="7"/>
      <c r="E22" s="1" t="s">
        <v>32</v>
      </c>
      <c r="F22" s="130">
        <f t="shared" ref="F22:K22" si="10">F23+F24</f>
        <v>41872.800000000003</v>
      </c>
      <c r="G22" s="146">
        <f t="shared" si="10"/>
        <v>636</v>
      </c>
      <c r="H22" s="146">
        <f t="shared" si="10"/>
        <v>42732.700000000004</v>
      </c>
      <c r="I22" s="146">
        <f t="shared" si="10"/>
        <v>0</v>
      </c>
      <c r="J22" s="146">
        <f t="shared" si="10"/>
        <v>42732.700000000004</v>
      </c>
      <c r="K22" s="146">
        <f t="shared" si="10"/>
        <v>45017</v>
      </c>
      <c r="L22" s="146">
        <f>L23+L24</f>
        <v>0</v>
      </c>
      <c r="M22" s="146">
        <f>M23+M24</f>
        <v>45017</v>
      </c>
      <c r="N22" s="146">
        <f>N23+N24</f>
        <v>46235.600000000006</v>
      </c>
      <c r="O22" s="146">
        <f>O23</f>
        <v>0</v>
      </c>
      <c r="P22" s="146">
        <f>P23+P24</f>
        <v>46235.600000000006</v>
      </c>
    </row>
    <row r="23" spans="1:16" ht="40.15" x14ac:dyDescent="0.3">
      <c r="A23" s="81"/>
      <c r="B23" s="81"/>
      <c r="C23" s="7"/>
      <c r="D23" s="7" t="s">
        <v>505</v>
      </c>
      <c r="E23" s="3" t="s">
        <v>506</v>
      </c>
      <c r="F23" s="130">
        <v>39479.5</v>
      </c>
      <c r="G23" s="146">
        <f>94.2+513.3</f>
        <v>607.5</v>
      </c>
      <c r="H23" s="146">
        <v>40310.9</v>
      </c>
      <c r="I23" s="130"/>
      <c r="J23" s="146">
        <f>SUM(H23:I23)</f>
        <v>40310.9</v>
      </c>
      <c r="K23" s="146">
        <v>43798.8</v>
      </c>
      <c r="L23" s="130"/>
      <c r="M23" s="146">
        <f>SUM(K23:L23)</f>
        <v>43798.8</v>
      </c>
      <c r="N23" s="146">
        <v>43798.8</v>
      </c>
      <c r="O23" s="130"/>
      <c r="P23" s="146">
        <f>SUM(N23:O23)</f>
        <v>43798.8</v>
      </c>
    </row>
    <row r="24" spans="1:16" ht="27" x14ac:dyDescent="0.3">
      <c r="A24" s="81"/>
      <c r="B24" s="81"/>
      <c r="C24" s="7"/>
      <c r="D24" s="7" t="s">
        <v>336</v>
      </c>
      <c r="E24" s="3" t="s">
        <v>337</v>
      </c>
      <c r="F24" s="130">
        <v>2393.3000000000002</v>
      </c>
      <c r="G24" s="146">
        <f>6+22.5</f>
        <v>28.5</v>
      </c>
      <c r="H24" s="146">
        <f>SUM(F24:G24)</f>
        <v>2421.8000000000002</v>
      </c>
      <c r="I24" s="146"/>
      <c r="J24" s="146">
        <f>SUM(H24:I24)</f>
        <v>2421.8000000000002</v>
      </c>
      <c r="K24" s="146">
        <v>1218.2000000000003</v>
      </c>
      <c r="L24" s="146"/>
      <c r="M24" s="146">
        <f>2393.3+30-16.5+30-1218.6</f>
        <v>1218.2000000000003</v>
      </c>
      <c r="N24" s="146">
        <f>2393.3+30-16.5+30</f>
        <v>2436.8000000000002</v>
      </c>
      <c r="O24" s="146"/>
      <c r="P24" s="146">
        <f>2393.3+30-16.5+30</f>
        <v>2436.8000000000002</v>
      </c>
    </row>
    <row r="25" spans="1:16" ht="40.15" x14ac:dyDescent="0.3">
      <c r="A25" s="34"/>
      <c r="B25" s="34"/>
      <c r="C25" s="34" t="s">
        <v>35</v>
      </c>
      <c r="D25" s="34"/>
      <c r="E25" s="35" t="s">
        <v>36</v>
      </c>
      <c r="F25" s="139">
        <f>F26</f>
        <v>1911.3000000000002</v>
      </c>
      <c r="G25" s="139"/>
      <c r="H25" s="139">
        <f>H26</f>
        <v>1911.3000000000002</v>
      </c>
      <c r="I25" s="139"/>
      <c r="J25" s="139">
        <f>J26</f>
        <v>1911.3000000000002</v>
      </c>
      <c r="K25" s="139">
        <f>K26</f>
        <v>1989.1999999999998</v>
      </c>
      <c r="L25" s="139"/>
      <c r="M25" s="139">
        <f>M26</f>
        <v>1989.1999999999998</v>
      </c>
      <c r="N25" s="139">
        <f>N26</f>
        <v>1989.1999999999998</v>
      </c>
      <c r="O25" s="139"/>
      <c r="P25" s="139">
        <f>P26</f>
        <v>1989.1999999999998</v>
      </c>
    </row>
    <row r="26" spans="1:16" ht="27" x14ac:dyDescent="0.3">
      <c r="A26" s="36"/>
      <c r="B26" s="36"/>
      <c r="C26" s="36" t="s">
        <v>37</v>
      </c>
      <c r="D26" s="39"/>
      <c r="E26" s="37" t="s">
        <v>38</v>
      </c>
      <c r="F26" s="131">
        <f>F27+F30+F33+F35+F38+F41</f>
        <v>1911.3000000000002</v>
      </c>
      <c r="G26" s="131"/>
      <c r="H26" s="131">
        <f>H27+H30+H33+H35+H38+H41</f>
        <v>1911.3000000000002</v>
      </c>
      <c r="I26" s="131"/>
      <c r="J26" s="131">
        <f>J27+J30+J33+J35+J38+J41</f>
        <v>1911.3000000000002</v>
      </c>
      <c r="K26" s="131">
        <f>K27+K30+K33+K35+K38+K41</f>
        <v>1989.1999999999998</v>
      </c>
      <c r="L26" s="131"/>
      <c r="M26" s="131">
        <f>M27+M30+M33+M35+M38+M41</f>
        <v>1989.1999999999998</v>
      </c>
      <c r="N26" s="131">
        <f>N27+N30+N33+N35+N38+N41</f>
        <v>1989.1999999999998</v>
      </c>
      <c r="O26" s="131"/>
      <c r="P26" s="131">
        <f>P27+P30+P33+P35+P38+P41</f>
        <v>1989.1999999999998</v>
      </c>
    </row>
    <row r="27" spans="1:16" ht="27" x14ac:dyDescent="0.3">
      <c r="A27" s="81"/>
      <c r="B27" s="81"/>
      <c r="C27" s="7" t="s">
        <v>39</v>
      </c>
      <c r="D27" s="7"/>
      <c r="E27" s="9" t="s">
        <v>40</v>
      </c>
      <c r="F27" s="145">
        <v>907</v>
      </c>
      <c r="G27" s="145"/>
      <c r="H27" s="145">
        <v>907</v>
      </c>
      <c r="I27" s="145"/>
      <c r="J27" s="145">
        <v>907</v>
      </c>
      <c r="K27" s="145">
        <v>943.9</v>
      </c>
      <c r="L27" s="145"/>
      <c r="M27" s="145">
        <v>943.9</v>
      </c>
      <c r="N27" s="145">
        <v>943.9</v>
      </c>
      <c r="O27" s="145"/>
      <c r="P27" s="145">
        <v>943.9</v>
      </c>
    </row>
    <row r="28" spans="1:16" ht="40.15" x14ac:dyDescent="0.3">
      <c r="A28" s="81"/>
      <c r="B28" s="81"/>
      <c r="C28" s="7"/>
      <c r="D28" s="7" t="s">
        <v>505</v>
      </c>
      <c r="E28" s="3" t="s">
        <v>506</v>
      </c>
      <c r="F28" s="145">
        <v>836.4</v>
      </c>
      <c r="G28" s="145"/>
      <c r="H28" s="145">
        <v>836.4</v>
      </c>
      <c r="I28" s="145"/>
      <c r="J28" s="145">
        <v>836.4</v>
      </c>
      <c r="K28" s="145">
        <v>836.4</v>
      </c>
      <c r="L28" s="145"/>
      <c r="M28" s="145">
        <v>836.4</v>
      </c>
      <c r="N28" s="145">
        <v>836.4</v>
      </c>
      <c r="O28" s="145"/>
      <c r="P28" s="145">
        <v>836.4</v>
      </c>
    </row>
    <row r="29" spans="1:16" ht="27" x14ac:dyDescent="0.3">
      <c r="A29" s="81"/>
      <c r="B29" s="81"/>
      <c r="C29" s="7"/>
      <c r="D29" s="7" t="s">
        <v>336</v>
      </c>
      <c r="E29" s="3" t="s">
        <v>337</v>
      </c>
      <c r="F29" s="145">
        <v>70.599999999999994</v>
      </c>
      <c r="G29" s="145"/>
      <c r="H29" s="145">
        <v>70.599999999999994</v>
      </c>
      <c r="I29" s="145"/>
      <c r="J29" s="145">
        <v>70.599999999999994</v>
      </c>
      <c r="K29" s="145">
        <v>107.5</v>
      </c>
      <c r="L29" s="145"/>
      <c r="M29" s="145">
        <v>107.5</v>
      </c>
      <c r="N29" s="145">
        <v>107.5</v>
      </c>
      <c r="O29" s="145"/>
      <c r="P29" s="145">
        <v>107.5</v>
      </c>
    </row>
    <row r="30" spans="1:16" ht="27" x14ac:dyDescent="0.3">
      <c r="A30" s="81"/>
      <c r="B30" s="81"/>
      <c r="C30" s="7" t="s">
        <v>41</v>
      </c>
      <c r="D30" s="7"/>
      <c r="E30" s="9" t="s">
        <v>42</v>
      </c>
      <c r="F30" s="145">
        <v>534.70000000000005</v>
      </c>
      <c r="G30" s="145"/>
      <c r="H30" s="145">
        <v>534.70000000000005</v>
      </c>
      <c r="I30" s="145"/>
      <c r="J30" s="145">
        <v>534.70000000000005</v>
      </c>
      <c r="K30" s="145">
        <v>556.20000000000005</v>
      </c>
      <c r="L30" s="145"/>
      <c r="M30" s="145">
        <v>556.20000000000005</v>
      </c>
      <c r="N30" s="145">
        <v>556.20000000000005</v>
      </c>
      <c r="O30" s="145"/>
      <c r="P30" s="145">
        <v>556.20000000000005</v>
      </c>
    </row>
    <row r="31" spans="1:16" ht="40.15" x14ac:dyDescent="0.3">
      <c r="A31" s="81"/>
      <c r="B31" s="81"/>
      <c r="C31" s="7"/>
      <c r="D31" s="7" t="s">
        <v>505</v>
      </c>
      <c r="E31" s="3" t="s">
        <v>506</v>
      </c>
      <c r="F31" s="145">
        <v>477.9</v>
      </c>
      <c r="G31" s="145"/>
      <c r="H31" s="145">
        <v>477.9</v>
      </c>
      <c r="I31" s="145"/>
      <c r="J31" s="145">
        <v>477.9</v>
      </c>
      <c r="K31" s="145">
        <v>477.9</v>
      </c>
      <c r="L31" s="145"/>
      <c r="M31" s="145">
        <v>477.9</v>
      </c>
      <c r="N31" s="145">
        <v>477.9</v>
      </c>
      <c r="O31" s="145"/>
      <c r="P31" s="145">
        <v>477.9</v>
      </c>
    </row>
    <row r="32" spans="1:16" ht="27" x14ac:dyDescent="0.3">
      <c r="A32" s="81"/>
      <c r="B32" s="81"/>
      <c r="C32" s="7"/>
      <c r="D32" s="7" t="s">
        <v>336</v>
      </c>
      <c r="E32" s="3" t="s">
        <v>337</v>
      </c>
      <c r="F32" s="145">
        <v>56.8</v>
      </c>
      <c r="G32" s="145"/>
      <c r="H32" s="145">
        <v>56.8</v>
      </c>
      <c r="I32" s="145"/>
      <c r="J32" s="145">
        <v>56.8</v>
      </c>
      <c r="K32" s="145">
        <v>78.3</v>
      </c>
      <c r="L32" s="145"/>
      <c r="M32" s="145">
        <v>78.3</v>
      </c>
      <c r="N32" s="145">
        <v>78.3</v>
      </c>
      <c r="O32" s="145"/>
      <c r="P32" s="145">
        <v>78.3</v>
      </c>
    </row>
    <row r="33" spans="1:16" ht="14.45" x14ac:dyDescent="0.3">
      <c r="A33" s="81"/>
      <c r="B33" s="81"/>
      <c r="C33" s="7" t="s">
        <v>43</v>
      </c>
      <c r="D33" s="7"/>
      <c r="E33" s="9" t="s">
        <v>44</v>
      </c>
      <c r="F33" s="145">
        <v>17.8</v>
      </c>
      <c r="G33" s="145"/>
      <c r="H33" s="145">
        <v>17.8</v>
      </c>
      <c r="I33" s="145"/>
      <c r="J33" s="145">
        <v>17.8</v>
      </c>
      <c r="K33" s="145">
        <v>17.8</v>
      </c>
      <c r="L33" s="145"/>
      <c r="M33" s="145">
        <v>17.8</v>
      </c>
      <c r="N33" s="145">
        <v>17.8</v>
      </c>
      <c r="O33" s="145"/>
      <c r="P33" s="145">
        <v>17.8</v>
      </c>
    </row>
    <row r="34" spans="1:16" ht="27" x14ac:dyDescent="0.3">
      <c r="A34" s="81"/>
      <c r="B34" s="81"/>
      <c r="C34" s="7"/>
      <c r="D34" s="7" t="s">
        <v>336</v>
      </c>
      <c r="E34" s="3" t="s">
        <v>337</v>
      </c>
      <c r="F34" s="145">
        <v>17.8</v>
      </c>
      <c r="G34" s="145"/>
      <c r="H34" s="145">
        <v>17.8</v>
      </c>
      <c r="I34" s="145"/>
      <c r="J34" s="145">
        <v>17.8</v>
      </c>
      <c r="K34" s="145">
        <v>17.8</v>
      </c>
      <c r="L34" s="145"/>
      <c r="M34" s="145">
        <v>17.8</v>
      </c>
      <c r="N34" s="145">
        <v>17.8</v>
      </c>
      <c r="O34" s="145"/>
      <c r="P34" s="145">
        <v>17.8</v>
      </c>
    </row>
    <row r="35" spans="1:16" ht="27" x14ac:dyDescent="0.3">
      <c r="A35" s="81"/>
      <c r="B35" s="81"/>
      <c r="C35" s="7" t="s">
        <v>45</v>
      </c>
      <c r="D35" s="7"/>
      <c r="E35" s="3" t="s">
        <v>46</v>
      </c>
      <c r="F35" s="145">
        <v>52.7</v>
      </c>
      <c r="G35" s="145"/>
      <c r="H35" s="145">
        <v>52.7</v>
      </c>
      <c r="I35" s="145"/>
      <c r="J35" s="145">
        <v>52.7</v>
      </c>
      <c r="K35" s="145">
        <v>55</v>
      </c>
      <c r="L35" s="145"/>
      <c r="M35" s="145">
        <v>55</v>
      </c>
      <c r="N35" s="145">
        <v>55</v>
      </c>
      <c r="O35" s="145"/>
      <c r="P35" s="145">
        <v>55</v>
      </c>
    </row>
    <row r="36" spans="1:16" ht="40.15" x14ac:dyDescent="0.3">
      <c r="A36" s="81"/>
      <c r="B36" s="81"/>
      <c r="C36" s="7"/>
      <c r="D36" s="7" t="s">
        <v>505</v>
      </c>
      <c r="E36" s="3" t="s">
        <v>506</v>
      </c>
      <c r="F36" s="145">
        <v>47.8</v>
      </c>
      <c r="G36" s="145"/>
      <c r="H36" s="145">
        <v>47.8</v>
      </c>
      <c r="I36" s="145"/>
      <c r="J36" s="145">
        <v>47.8</v>
      </c>
      <c r="K36" s="145">
        <v>47.8</v>
      </c>
      <c r="L36" s="145"/>
      <c r="M36" s="145">
        <v>47.8</v>
      </c>
      <c r="N36" s="145">
        <v>47.8</v>
      </c>
      <c r="O36" s="145"/>
      <c r="P36" s="145">
        <v>47.8</v>
      </c>
    </row>
    <row r="37" spans="1:16" ht="27" x14ac:dyDescent="0.3">
      <c r="A37" s="81"/>
      <c r="B37" s="81"/>
      <c r="C37" s="7"/>
      <c r="D37" s="7" t="s">
        <v>336</v>
      </c>
      <c r="E37" s="3" t="s">
        <v>337</v>
      </c>
      <c r="F37" s="145">
        <v>4.9000000000000004</v>
      </c>
      <c r="G37" s="145"/>
      <c r="H37" s="145">
        <v>4.9000000000000004</v>
      </c>
      <c r="I37" s="145"/>
      <c r="J37" s="145">
        <v>4.9000000000000004</v>
      </c>
      <c r="K37" s="145">
        <v>7.2</v>
      </c>
      <c r="L37" s="145"/>
      <c r="M37" s="145">
        <v>7.2</v>
      </c>
      <c r="N37" s="145">
        <v>7.2</v>
      </c>
      <c r="O37" s="145"/>
      <c r="P37" s="145">
        <v>7.2</v>
      </c>
    </row>
    <row r="38" spans="1:16" ht="27" x14ac:dyDescent="0.3">
      <c r="A38" s="81"/>
      <c r="B38" s="81"/>
      <c r="C38" s="7" t="s">
        <v>47</v>
      </c>
      <c r="D38" s="7"/>
      <c r="E38" s="3" t="s">
        <v>766</v>
      </c>
      <c r="F38" s="145">
        <v>387.7</v>
      </c>
      <c r="G38" s="145"/>
      <c r="H38" s="145">
        <v>387.7</v>
      </c>
      <c r="I38" s="145"/>
      <c r="J38" s="145">
        <v>387.7</v>
      </c>
      <c r="K38" s="145">
        <v>404.4</v>
      </c>
      <c r="L38" s="145"/>
      <c r="M38" s="145">
        <v>404.4</v>
      </c>
      <c r="N38" s="145">
        <v>404.4</v>
      </c>
      <c r="O38" s="145"/>
      <c r="P38" s="145">
        <v>404.4</v>
      </c>
    </row>
    <row r="39" spans="1:16" ht="40.15" x14ac:dyDescent="0.3">
      <c r="A39" s="81"/>
      <c r="B39" s="81"/>
      <c r="C39" s="7"/>
      <c r="D39" s="7" t="s">
        <v>505</v>
      </c>
      <c r="E39" s="3" t="s">
        <v>506</v>
      </c>
      <c r="F39" s="145">
        <v>365.5</v>
      </c>
      <c r="G39" s="145"/>
      <c r="H39" s="145">
        <v>365.5</v>
      </c>
      <c r="I39" s="145"/>
      <c r="J39" s="145">
        <v>365.5</v>
      </c>
      <c r="K39" s="145">
        <v>365.5</v>
      </c>
      <c r="L39" s="145"/>
      <c r="M39" s="145">
        <v>365.5</v>
      </c>
      <c r="N39" s="145">
        <v>365.5</v>
      </c>
      <c r="O39" s="145"/>
      <c r="P39" s="145">
        <v>365.5</v>
      </c>
    </row>
    <row r="40" spans="1:16" ht="27" x14ac:dyDescent="0.3">
      <c r="A40" s="81"/>
      <c r="B40" s="81"/>
      <c r="C40" s="7"/>
      <c r="D40" s="7" t="s">
        <v>336</v>
      </c>
      <c r="E40" s="3" t="s">
        <v>337</v>
      </c>
      <c r="F40" s="145">
        <v>22.2</v>
      </c>
      <c r="G40" s="145"/>
      <c r="H40" s="145">
        <v>22.2</v>
      </c>
      <c r="I40" s="145"/>
      <c r="J40" s="145">
        <v>22.2</v>
      </c>
      <c r="K40" s="145">
        <v>38.9</v>
      </c>
      <c r="L40" s="145"/>
      <c r="M40" s="145">
        <v>38.9</v>
      </c>
      <c r="N40" s="145">
        <v>38.9</v>
      </c>
      <c r="O40" s="145"/>
      <c r="P40" s="145">
        <v>38.9</v>
      </c>
    </row>
    <row r="41" spans="1:16" ht="40.15" x14ac:dyDescent="0.3">
      <c r="A41" s="81"/>
      <c r="B41" s="81"/>
      <c r="C41" s="7" t="s">
        <v>48</v>
      </c>
      <c r="D41" s="7"/>
      <c r="E41" s="9" t="s">
        <v>49</v>
      </c>
      <c r="F41" s="145">
        <v>11.4</v>
      </c>
      <c r="G41" s="145"/>
      <c r="H41" s="145">
        <v>11.4</v>
      </c>
      <c r="I41" s="145"/>
      <c r="J41" s="145">
        <v>11.4</v>
      </c>
      <c r="K41" s="145">
        <v>11.9</v>
      </c>
      <c r="L41" s="145"/>
      <c r="M41" s="145">
        <v>11.9</v>
      </c>
      <c r="N41" s="145">
        <v>11.9</v>
      </c>
      <c r="O41" s="145"/>
      <c r="P41" s="145">
        <v>11.9</v>
      </c>
    </row>
    <row r="42" spans="1:16" ht="27" x14ac:dyDescent="0.3">
      <c r="A42" s="81"/>
      <c r="B42" s="81"/>
      <c r="C42" s="7"/>
      <c r="D42" s="7" t="s">
        <v>336</v>
      </c>
      <c r="E42" s="3" t="s">
        <v>337</v>
      </c>
      <c r="F42" s="145">
        <v>11.4</v>
      </c>
      <c r="G42" s="145"/>
      <c r="H42" s="145">
        <v>11.4</v>
      </c>
      <c r="I42" s="145"/>
      <c r="J42" s="145">
        <v>11.4</v>
      </c>
      <c r="K42" s="145">
        <v>11.9</v>
      </c>
      <c r="L42" s="145"/>
      <c r="M42" s="145">
        <v>11.9</v>
      </c>
      <c r="N42" s="145">
        <v>11.9</v>
      </c>
      <c r="O42" s="145"/>
      <c r="P42" s="145">
        <v>11.9</v>
      </c>
    </row>
    <row r="43" spans="1:16" ht="36.75" customHeight="1" x14ac:dyDescent="0.3">
      <c r="A43" s="93"/>
      <c r="B43" s="94"/>
      <c r="C43" s="95" t="s">
        <v>213</v>
      </c>
      <c r="D43" s="94"/>
      <c r="E43" s="96" t="s">
        <v>214</v>
      </c>
      <c r="F43" s="138">
        <f>F44</f>
        <v>66.099999999999994</v>
      </c>
      <c r="G43" s="138"/>
      <c r="H43" s="138">
        <f t="shared" ref="H43:P44" si="11">H44</f>
        <v>66.099999999999994</v>
      </c>
      <c r="I43" s="138"/>
      <c r="J43" s="138">
        <f t="shared" si="11"/>
        <v>66.099999999999994</v>
      </c>
      <c r="K43" s="138">
        <f t="shared" si="11"/>
        <v>68.900000000000006</v>
      </c>
      <c r="L43" s="138"/>
      <c r="M43" s="138">
        <f t="shared" si="11"/>
        <v>68.900000000000006</v>
      </c>
      <c r="N43" s="138">
        <f t="shared" si="11"/>
        <v>68.900000000000006</v>
      </c>
      <c r="O43" s="138"/>
      <c r="P43" s="138">
        <f t="shared" si="11"/>
        <v>68.900000000000006</v>
      </c>
    </row>
    <row r="44" spans="1:16" ht="40.15" x14ac:dyDescent="0.3">
      <c r="A44" s="36"/>
      <c r="B44" s="36"/>
      <c r="C44" s="36" t="s">
        <v>227</v>
      </c>
      <c r="D44" s="36"/>
      <c r="E44" s="37" t="s">
        <v>228</v>
      </c>
      <c r="F44" s="131">
        <f>F45</f>
        <v>66.099999999999994</v>
      </c>
      <c r="G44" s="131"/>
      <c r="H44" s="131">
        <f t="shared" si="11"/>
        <v>66.099999999999994</v>
      </c>
      <c r="I44" s="131"/>
      <c r="J44" s="131">
        <f t="shared" si="11"/>
        <v>66.099999999999994</v>
      </c>
      <c r="K44" s="131">
        <f t="shared" si="11"/>
        <v>68.900000000000006</v>
      </c>
      <c r="L44" s="131"/>
      <c r="M44" s="131">
        <f t="shared" si="11"/>
        <v>68.900000000000006</v>
      </c>
      <c r="N44" s="131">
        <f t="shared" si="11"/>
        <v>68.900000000000006</v>
      </c>
      <c r="O44" s="131"/>
      <c r="P44" s="131">
        <f t="shared" si="11"/>
        <v>68.900000000000006</v>
      </c>
    </row>
    <row r="45" spans="1:16" ht="52.9" x14ac:dyDescent="0.3">
      <c r="A45" s="81"/>
      <c r="B45" s="81"/>
      <c r="C45" s="7" t="s">
        <v>233</v>
      </c>
      <c r="D45" s="7"/>
      <c r="E45" s="1" t="s">
        <v>234</v>
      </c>
      <c r="F45" s="130">
        <v>66.099999999999994</v>
      </c>
      <c r="G45" s="130"/>
      <c r="H45" s="130">
        <v>66.099999999999994</v>
      </c>
      <c r="I45" s="130"/>
      <c r="J45" s="130">
        <v>66.099999999999994</v>
      </c>
      <c r="K45" s="130">
        <v>68.900000000000006</v>
      </c>
      <c r="L45" s="130"/>
      <c r="M45" s="130">
        <v>68.900000000000006</v>
      </c>
      <c r="N45" s="130">
        <v>68.900000000000006</v>
      </c>
      <c r="O45" s="130"/>
      <c r="P45" s="130">
        <v>68.900000000000006</v>
      </c>
    </row>
    <row r="46" spans="1:16" ht="40.15" x14ac:dyDescent="0.3">
      <c r="A46" s="81"/>
      <c r="B46" s="81"/>
      <c r="C46" s="7"/>
      <c r="D46" s="7" t="s">
        <v>505</v>
      </c>
      <c r="E46" s="3" t="s">
        <v>506</v>
      </c>
      <c r="F46" s="130">
        <v>47.8</v>
      </c>
      <c r="G46" s="130"/>
      <c r="H46" s="130">
        <v>47.8</v>
      </c>
      <c r="I46" s="130"/>
      <c r="J46" s="130">
        <v>47.8</v>
      </c>
      <c r="K46" s="130">
        <v>47.8</v>
      </c>
      <c r="L46" s="130"/>
      <c r="M46" s="130">
        <v>47.8</v>
      </c>
      <c r="N46" s="130">
        <v>47.8</v>
      </c>
      <c r="O46" s="130"/>
      <c r="P46" s="130">
        <v>47.8</v>
      </c>
    </row>
    <row r="47" spans="1:16" ht="27" x14ac:dyDescent="0.3">
      <c r="A47" s="81"/>
      <c r="B47" s="81"/>
      <c r="C47" s="7"/>
      <c r="D47" s="7" t="s">
        <v>336</v>
      </c>
      <c r="E47" s="3" t="s">
        <v>337</v>
      </c>
      <c r="F47" s="130">
        <v>18.3</v>
      </c>
      <c r="G47" s="130"/>
      <c r="H47" s="130">
        <v>18.3</v>
      </c>
      <c r="I47" s="130"/>
      <c r="J47" s="130">
        <v>18.3</v>
      </c>
      <c r="K47" s="130">
        <v>21.1</v>
      </c>
      <c r="L47" s="130"/>
      <c r="M47" s="130">
        <v>21.1</v>
      </c>
      <c r="N47" s="130">
        <v>21.1</v>
      </c>
      <c r="O47" s="130"/>
      <c r="P47" s="130">
        <v>21.1</v>
      </c>
    </row>
    <row r="48" spans="1:16" s="48" customFormat="1" ht="14.45" x14ac:dyDescent="0.3">
      <c r="A48" s="196"/>
      <c r="B48" s="196"/>
      <c r="C48" s="103" t="s">
        <v>620</v>
      </c>
      <c r="D48" s="102"/>
      <c r="E48" s="104" t="s">
        <v>621</v>
      </c>
      <c r="F48" s="197">
        <f>F49</f>
        <v>3.3</v>
      </c>
      <c r="G48" s="197"/>
      <c r="H48" s="197">
        <f>H49</f>
        <v>3.3</v>
      </c>
      <c r="I48" s="197"/>
      <c r="J48" s="197">
        <f>J49</f>
        <v>3.3</v>
      </c>
      <c r="K48" s="197">
        <f t="shared" ref="K48:P50" si="12">K49</f>
        <v>3.5</v>
      </c>
      <c r="L48" s="197"/>
      <c r="M48" s="197">
        <f t="shared" si="12"/>
        <v>3.5</v>
      </c>
      <c r="N48" s="197">
        <f t="shared" si="12"/>
        <v>3.5</v>
      </c>
      <c r="O48" s="197"/>
      <c r="P48" s="197">
        <f t="shared" si="12"/>
        <v>3.5</v>
      </c>
    </row>
    <row r="49" spans="1:16" s="48" customFormat="1" ht="39.6" x14ac:dyDescent="0.3">
      <c r="A49" s="176"/>
      <c r="B49" s="176"/>
      <c r="C49" s="177" t="s">
        <v>509</v>
      </c>
      <c r="D49" s="178"/>
      <c r="E49" s="179" t="s">
        <v>622</v>
      </c>
      <c r="F49" s="180">
        <f>F50</f>
        <v>3.3</v>
      </c>
      <c r="G49" s="180"/>
      <c r="H49" s="180">
        <f>H50</f>
        <v>3.3</v>
      </c>
      <c r="I49" s="180"/>
      <c r="J49" s="180">
        <f>J50</f>
        <v>3.3</v>
      </c>
      <c r="K49" s="180">
        <f t="shared" si="12"/>
        <v>3.5</v>
      </c>
      <c r="L49" s="180"/>
      <c r="M49" s="180">
        <f t="shared" si="12"/>
        <v>3.5</v>
      </c>
      <c r="N49" s="180">
        <f t="shared" si="12"/>
        <v>3.5</v>
      </c>
      <c r="O49" s="180"/>
      <c r="P49" s="180">
        <f t="shared" si="12"/>
        <v>3.5</v>
      </c>
    </row>
    <row r="50" spans="1:16" ht="39.6" x14ac:dyDescent="0.3">
      <c r="A50" s="81"/>
      <c r="B50" s="81"/>
      <c r="C50" s="91" t="s">
        <v>530</v>
      </c>
      <c r="D50" s="17"/>
      <c r="E50" s="1" t="s">
        <v>531</v>
      </c>
      <c r="F50" s="145">
        <f>F51</f>
        <v>3.3</v>
      </c>
      <c r="G50" s="145"/>
      <c r="H50" s="145">
        <f>H51</f>
        <v>3.3</v>
      </c>
      <c r="I50" s="145"/>
      <c r="J50" s="145">
        <f>J51</f>
        <v>3.3</v>
      </c>
      <c r="K50" s="145">
        <f t="shared" si="12"/>
        <v>3.5</v>
      </c>
      <c r="L50" s="145"/>
      <c r="M50" s="145">
        <f t="shared" si="12"/>
        <v>3.5</v>
      </c>
      <c r="N50" s="145">
        <f t="shared" si="12"/>
        <v>3.5</v>
      </c>
      <c r="O50" s="145"/>
      <c r="P50" s="145">
        <f t="shared" si="12"/>
        <v>3.5</v>
      </c>
    </row>
    <row r="51" spans="1:16" ht="26.45" x14ac:dyDescent="0.3">
      <c r="A51" s="81"/>
      <c r="B51" s="81"/>
      <c r="C51" s="91"/>
      <c r="D51" s="17" t="s">
        <v>336</v>
      </c>
      <c r="E51" s="1" t="s">
        <v>337</v>
      </c>
      <c r="F51" s="145">
        <v>3.3</v>
      </c>
      <c r="G51" s="145"/>
      <c r="H51" s="145">
        <v>3.3</v>
      </c>
      <c r="I51" s="145"/>
      <c r="J51" s="145">
        <v>3.3</v>
      </c>
      <c r="K51" s="145">
        <v>3.5</v>
      </c>
      <c r="L51" s="145"/>
      <c r="M51" s="145">
        <v>3.5</v>
      </c>
      <c r="N51" s="145">
        <v>3.5</v>
      </c>
      <c r="O51" s="145"/>
      <c r="P51" s="145">
        <v>3.5</v>
      </c>
    </row>
    <row r="52" spans="1:16" ht="14.45" x14ac:dyDescent="0.3">
      <c r="A52" s="85"/>
      <c r="B52" s="18" t="s">
        <v>623</v>
      </c>
      <c r="C52" s="86"/>
      <c r="D52" s="18"/>
      <c r="E52" s="90" t="s">
        <v>624</v>
      </c>
      <c r="F52" s="157">
        <f>F53</f>
        <v>0.90000000000000013</v>
      </c>
      <c r="G52" s="157"/>
      <c r="H52" s="157">
        <f>H53</f>
        <v>0.90000000000000013</v>
      </c>
      <c r="I52" s="157"/>
      <c r="J52" s="157">
        <f>J53</f>
        <v>0.90000000000000013</v>
      </c>
      <c r="K52" s="157">
        <f t="shared" ref="K52:P56" si="13">K53</f>
        <v>0.90000000000000013</v>
      </c>
      <c r="L52" s="157"/>
      <c r="M52" s="157">
        <f t="shared" si="13"/>
        <v>0.90000000000000013</v>
      </c>
      <c r="N52" s="157">
        <f t="shared" si="13"/>
        <v>0.8</v>
      </c>
      <c r="O52" s="157"/>
      <c r="P52" s="157">
        <f t="shared" si="13"/>
        <v>0.8</v>
      </c>
    </row>
    <row r="53" spans="1:16" s="105" customFormat="1" ht="27" x14ac:dyDescent="0.3">
      <c r="A53" s="85"/>
      <c r="B53" s="18"/>
      <c r="C53" s="85" t="s">
        <v>6</v>
      </c>
      <c r="D53" s="92"/>
      <c r="E53" s="88" t="s">
        <v>7</v>
      </c>
      <c r="F53" s="157">
        <f>F54</f>
        <v>0.90000000000000013</v>
      </c>
      <c r="G53" s="157"/>
      <c r="H53" s="157">
        <f>H54</f>
        <v>0.90000000000000013</v>
      </c>
      <c r="I53" s="157"/>
      <c r="J53" s="157">
        <f>J54</f>
        <v>0.90000000000000013</v>
      </c>
      <c r="K53" s="157">
        <f t="shared" si="13"/>
        <v>0.90000000000000013</v>
      </c>
      <c r="L53" s="157"/>
      <c r="M53" s="157">
        <f t="shared" si="13"/>
        <v>0.90000000000000013</v>
      </c>
      <c r="N53" s="157">
        <f t="shared" si="13"/>
        <v>0.8</v>
      </c>
      <c r="O53" s="157"/>
      <c r="P53" s="157">
        <f t="shared" si="13"/>
        <v>0.8</v>
      </c>
    </row>
    <row r="54" spans="1:16" ht="39.6" x14ac:dyDescent="0.3">
      <c r="A54" s="93"/>
      <c r="B54" s="94"/>
      <c r="C54" s="95" t="s">
        <v>8</v>
      </c>
      <c r="D54" s="94"/>
      <c r="E54" s="96" t="s">
        <v>9</v>
      </c>
      <c r="F54" s="138">
        <f>F55</f>
        <v>0.90000000000000013</v>
      </c>
      <c r="G54" s="138"/>
      <c r="H54" s="138">
        <f>H55</f>
        <v>0.90000000000000013</v>
      </c>
      <c r="I54" s="138"/>
      <c r="J54" s="138">
        <f>J55</f>
        <v>0.90000000000000013</v>
      </c>
      <c r="K54" s="138">
        <f t="shared" si="13"/>
        <v>0.90000000000000013</v>
      </c>
      <c r="L54" s="138"/>
      <c r="M54" s="138">
        <f t="shared" si="13"/>
        <v>0.90000000000000013</v>
      </c>
      <c r="N54" s="138">
        <f t="shared" si="13"/>
        <v>0.8</v>
      </c>
      <c r="O54" s="138"/>
      <c r="P54" s="138">
        <f t="shared" si="13"/>
        <v>0.8</v>
      </c>
    </row>
    <row r="55" spans="1:16" ht="39.6" x14ac:dyDescent="0.3">
      <c r="A55" s="97"/>
      <c r="B55" s="98"/>
      <c r="C55" s="99" t="s">
        <v>35</v>
      </c>
      <c r="D55" s="98"/>
      <c r="E55" s="100" t="s">
        <v>625</v>
      </c>
      <c r="F55" s="158">
        <f>F56</f>
        <v>0.90000000000000013</v>
      </c>
      <c r="G55" s="158"/>
      <c r="H55" s="158">
        <f>H56</f>
        <v>0.90000000000000013</v>
      </c>
      <c r="I55" s="158"/>
      <c r="J55" s="158">
        <f>J56</f>
        <v>0.90000000000000013</v>
      </c>
      <c r="K55" s="158">
        <f t="shared" si="13"/>
        <v>0.90000000000000013</v>
      </c>
      <c r="L55" s="158"/>
      <c r="M55" s="158">
        <f t="shared" si="13"/>
        <v>0.90000000000000013</v>
      </c>
      <c r="N55" s="158">
        <f t="shared" si="13"/>
        <v>0.8</v>
      </c>
      <c r="O55" s="158"/>
      <c r="P55" s="158">
        <f t="shared" si="13"/>
        <v>0.8</v>
      </c>
    </row>
    <row r="56" spans="1:16" ht="26.45" x14ac:dyDescent="0.3">
      <c r="A56" s="101"/>
      <c r="B56" s="102"/>
      <c r="C56" s="103" t="s">
        <v>37</v>
      </c>
      <c r="D56" s="102"/>
      <c r="E56" s="104" t="s">
        <v>626</v>
      </c>
      <c r="F56" s="159">
        <f>F57</f>
        <v>0.90000000000000013</v>
      </c>
      <c r="G56" s="159"/>
      <c r="H56" s="159">
        <f>H57</f>
        <v>0.90000000000000013</v>
      </c>
      <c r="I56" s="159"/>
      <c r="J56" s="159">
        <f>J57</f>
        <v>0.90000000000000013</v>
      </c>
      <c r="K56" s="159">
        <f t="shared" si="13"/>
        <v>0.90000000000000013</v>
      </c>
      <c r="L56" s="159"/>
      <c r="M56" s="159">
        <f t="shared" si="13"/>
        <v>0.90000000000000013</v>
      </c>
      <c r="N56" s="159">
        <f t="shared" si="13"/>
        <v>0.8</v>
      </c>
      <c r="O56" s="159"/>
      <c r="P56" s="159">
        <f t="shared" si="13"/>
        <v>0.8</v>
      </c>
    </row>
    <row r="57" spans="1:16" ht="40.15" x14ac:dyDescent="0.3">
      <c r="A57" s="81"/>
      <c r="B57" s="81"/>
      <c r="C57" s="7" t="s">
        <v>50</v>
      </c>
      <c r="D57" s="7"/>
      <c r="E57" s="3" t="s">
        <v>51</v>
      </c>
      <c r="F57" s="145">
        <f>2.6-1.7</f>
        <v>0.90000000000000013</v>
      </c>
      <c r="G57" s="145"/>
      <c r="H57" s="145">
        <f>2.6-1.7</f>
        <v>0.90000000000000013</v>
      </c>
      <c r="I57" s="145"/>
      <c r="J57" s="145">
        <f>2.6-1.7</f>
        <v>0.90000000000000013</v>
      </c>
      <c r="K57" s="145">
        <f>2.6-1.7</f>
        <v>0.90000000000000013</v>
      </c>
      <c r="L57" s="145"/>
      <c r="M57" s="145">
        <f>2.6-1.7</f>
        <v>0.90000000000000013</v>
      </c>
      <c r="N57" s="145">
        <f>2.6-1.8</f>
        <v>0.8</v>
      </c>
      <c r="O57" s="145"/>
      <c r="P57" s="145">
        <f>2.6-1.8</f>
        <v>0.8</v>
      </c>
    </row>
    <row r="58" spans="1:16" ht="27" x14ac:dyDescent="0.3">
      <c r="A58" s="81"/>
      <c r="B58" s="81"/>
      <c r="C58" s="7"/>
      <c r="D58" s="7" t="s">
        <v>336</v>
      </c>
      <c r="E58" s="3" t="s">
        <v>337</v>
      </c>
      <c r="F58" s="145">
        <f>2.6-1.7</f>
        <v>0.90000000000000013</v>
      </c>
      <c r="G58" s="145"/>
      <c r="H58" s="145">
        <f>2.6-1.7</f>
        <v>0.90000000000000013</v>
      </c>
      <c r="I58" s="145"/>
      <c r="J58" s="145">
        <f>2.6-1.7</f>
        <v>0.90000000000000013</v>
      </c>
      <c r="K58" s="145">
        <f>2.6-1.7</f>
        <v>0.90000000000000013</v>
      </c>
      <c r="L58" s="145"/>
      <c r="M58" s="145">
        <f>2.6-1.7</f>
        <v>0.90000000000000013</v>
      </c>
      <c r="N58" s="145">
        <f>2.6-1.8</f>
        <v>0.8</v>
      </c>
      <c r="O58" s="145"/>
      <c r="P58" s="145">
        <f>2.6-1.8</f>
        <v>0.8</v>
      </c>
    </row>
    <row r="59" spans="1:16" ht="14.45" x14ac:dyDescent="0.3">
      <c r="A59" s="85"/>
      <c r="B59" s="18" t="s">
        <v>627</v>
      </c>
      <c r="C59" s="86"/>
      <c r="D59" s="85"/>
      <c r="E59" s="87" t="s">
        <v>628</v>
      </c>
      <c r="F59" s="157">
        <f t="shared" ref="F59:N59" si="14">F60+F100</f>
        <v>33280.6</v>
      </c>
      <c r="G59" s="157">
        <f t="shared" si="14"/>
        <v>3118.1000000000004</v>
      </c>
      <c r="H59" s="157">
        <f t="shared" si="14"/>
        <v>38516.999999999993</v>
      </c>
      <c r="I59" s="157">
        <f t="shared" si="14"/>
        <v>186.59999999999997</v>
      </c>
      <c r="J59" s="157">
        <f t="shared" si="14"/>
        <v>38703.599999999991</v>
      </c>
      <c r="K59" s="157">
        <f t="shared" si="14"/>
        <v>32788.001550000001</v>
      </c>
      <c r="L59" s="157">
        <f t="shared" si="14"/>
        <v>0</v>
      </c>
      <c r="M59" s="157">
        <f t="shared" si="14"/>
        <v>32788.001550000001</v>
      </c>
      <c r="N59" s="157">
        <f t="shared" si="14"/>
        <v>33362.864829999999</v>
      </c>
      <c r="O59" s="157">
        <f>O60+O100</f>
        <v>0</v>
      </c>
      <c r="P59" s="157">
        <f>P60+P100</f>
        <v>33362.864829999999</v>
      </c>
    </row>
    <row r="60" spans="1:16" ht="26.45" x14ac:dyDescent="0.3">
      <c r="A60" s="85"/>
      <c r="B60" s="18"/>
      <c r="C60" s="86" t="s">
        <v>6</v>
      </c>
      <c r="D60" s="85"/>
      <c r="E60" s="90" t="s">
        <v>7</v>
      </c>
      <c r="F60" s="157">
        <f t="shared" ref="F60:J60" si="15">F61+F89</f>
        <v>2576.1</v>
      </c>
      <c r="G60" s="157">
        <f t="shared" si="15"/>
        <v>0</v>
      </c>
      <c r="H60" s="157">
        <f t="shared" si="15"/>
        <v>2442.1</v>
      </c>
      <c r="I60" s="157"/>
      <c r="J60" s="157">
        <f t="shared" si="15"/>
        <v>2442.1</v>
      </c>
      <c r="K60" s="157">
        <f t="shared" ref="K60:P60" si="16">K61+K89+K94</f>
        <v>2121.00155</v>
      </c>
      <c r="L60" s="157">
        <f t="shared" si="16"/>
        <v>0</v>
      </c>
      <c r="M60" s="157">
        <f t="shared" si="16"/>
        <v>2121.00155</v>
      </c>
      <c r="N60" s="157">
        <f t="shared" si="16"/>
        <v>2327.5648300000003</v>
      </c>
      <c r="O60" s="157">
        <f t="shared" si="16"/>
        <v>0</v>
      </c>
      <c r="P60" s="157">
        <f t="shared" si="16"/>
        <v>2327.5648300000003</v>
      </c>
    </row>
    <row r="61" spans="1:16" ht="39.6" x14ac:dyDescent="0.3">
      <c r="A61" s="93"/>
      <c r="B61" s="94"/>
      <c r="C61" s="95" t="s">
        <v>8</v>
      </c>
      <c r="D61" s="94"/>
      <c r="E61" s="96" t="s">
        <v>9</v>
      </c>
      <c r="F61" s="138">
        <f t="shared" ref="F61:L61" si="17">F62+F76+F81</f>
        <v>2276.1</v>
      </c>
      <c r="G61" s="138">
        <f t="shared" si="17"/>
        <v>0</v>
      </c>
      <c r="H61" s="138">
        <f t="shared" si="17"/>
        <v>2142.1</v>
      </c>
      <c r="I61" s="138"/>
      <c r="J61" s="138">
        <f t="shared" si="17"/>
        <v>2142.1</v>
      </c>
      <c r="K61" s="138">
        <f t="shared" si="17"/>
        <v>1778.4</v>
      </c>
      <c r="L61" s="138">
        <f t="shared" si="17"/>
        <v>0</v>
      </c>
      <c r="M61" s="138">
        <f>M62+M76+M81</f>
        <v>1778.4</v>
      </c>
      <c r="N61" s="138">
        <f>N62+N76+N81</f>
        <v>1971.9</v>
      </c>
      <c r="O61" s="138">
        <f>O62+O76+O81</f>
        <v>0</v>
      </c>
      <c r="P61" s="138">
        <f>P62+P76+P81</f>
        <v>1971.9</v>
      </c>
    </row>
    <row r="62" spans="1:16" ht="27" x14ac:dyDescent="0.3">
      <c r="A62" s="34"/>
      <c r="B62" s="34"/>
      <c r="C62" s="34" t="s">
        <v>10</v>
      </c>
      <c r="D62" s="34"/>
      <c r="E62" s="35" t="s">
        <v>11</v>
      </c>
      <c r="F62" s="139">
        <f t="shared" ref="F62:L62" si="18">F63+F66+F71</f>
        <v>1053.0999999999999</v>
      </c>
      <c r="G62" s="139">
        <f t="shared" si="18"/>
        <v>0</v>
      </c>
      <c r="H62" s="139">
        <f t="shared" si="18"/>
        <v>919.0999999999998</v>
      </c>
      <c r="I62" s="139"/>
      <c r="J62" s="139">
        <f t="shared" si="18"/>
        <v>919.0999999999998</v>
      </c>
      <c r="K62" s="139">
        <f t="shared" si="18"/>
        <v>501.00000000000006</v>
      </c>
      <c r="L62" s="139">
        <f t="shared" si="18"/>
        <v>0</v>
      </c>
      <c r="M62" s="139">
        <f>M63+M66+M71</f>
        <v>501.00000000000006</v>
      </c>
      <c r="N62" s="139">
        <f>N63+N66+N71</f>
        <v>688.7</v>
      </c>
      <c r="O62" s="139">
        <f>O63+O66+O71</f>
        <v>0</v>
      </c>
      <c r="P62" s="139">
        <f>P63+P66+P71</f>
        <v>688.7</v>
      </c>
    </row>
    <row r="63" spans="1:16" ht="40.15" x14ac:dyDescent="0.3">
      <c r="A63" s="36"/>
      <c r="B63" s="36"/>
      <c r="C63" s="36" t="s">
        <v>12</v>
      </c>
      <c r="D63" s="36"/>
      <c r="E63" s="37" t="s">
        <v>13</v>
      </c>
      <c r="F63" s="131">
        <f t="shared" ref="F63:L63" si="19">F64</f>
        <v>134</v>
      </c>
      <c r="G63" s="131">
        <f t="shared" si="19"/>
        <v>0</v>
      </c>
      <c r="H63" s="131">
        <f t="shared" si="19"/>
        <v>0</v>
      </c>
      <c r="I63" s="131"/>
      <c r="J63" s="131">
        <f t="shared" si="19"/>
        <v>0</v>
      </c>
      <c r="K63" s="131">
        <f t="shared" si="19"/>
        <v>0</v>
      </c>
      <c r="L63" s="131">
        <f t="shared" si="19"/>
        <v>0</v>
      </c>
      <c r="M63" s="131">
        <f>M64</f>
        <v>0</v>
      </c>
      <c r="N63" s="131">
        <f>N64</f>
        <v>0</v>
      </c>
      <c r="O63" s="131"/>
      <c r="P63" s="131">
        <f>P64</f>
        <v>0</v>
      </c>
    </row>
    <row r="64" spans="1:16" ht="14.45" x14ac:dyDescent="0.3">
      <c r="A64" s="7"/>
      <c r="B64" s="7"/>
      <c r="C64" s="7" t="s">
        <v>543</v>
      </c>
      <c r="D64" s="13"/>
      <c r="E64" s="3" t="s">
        <v>14</v>
      </c>
      <c r="F64" s="130">
        <v>134</v>
      </c>
      <c r="G64" s="130"/>
      <c r="H64" s="130">
        <f>H65</f>
        <v>0</v>
      </c>
      <c r="I64" s="146"/>
      <c r="J64" s="130">
        <v>0</v>
      </c>
      <c r="K64" s="130">
        <f>K65</f>
        <v>0</v>
      </c>
      <c r="L64" s="130"/>
      <c r="M64" s="130">
        <f>M65</f>
        <v>0</v>
      </c>
      <c r="N64" s="130">
        <f>N65</f>
        <v>0</v>
      </c>
      <c r="O64" s="130"/>
      <c r="P64" s="130">
        <f>P65</f>
        <v>0</v>
      </c>
    </row>
    <row r="65" spans="1:16" ht="27" x14ac:dyDescent="0.3">
      <c r="A65" s="7"/>
      <c r="B65" s="7"/>
      <c r="C65" s="7"/>
      <c r="D65" s="7" t="s">
        <v>336</v>
      </c>
      <c r="E65" s="3" t="s">
        <v>337</v>
      </c>
      <c r="F65" s="130">
        <v>134</v>
      </c>
      <c r="G65" s="130"/>
      <c r="H65" s="130">
        <v>0</v>
      </c>
      <c r="I65" s="146"/>
      <c r="J65" s="130">
        <v>0</v>
      </c>
      <c r="K65" s="130">
        <v>0</v>
      </c>
      <c r="L65" s="130"/>
      <c r="M65" s="130">
        <v>0</v>
      </c>
      <c r="N65" s="130">
        <v>0</v>
      </c>
      <c r="O65" s="130"/>
      <c r="P65" s="130">
        <v>0</v>
      </c>
    </row>
    <row r="66" spans="1:16" ht="27" x14ac:dyDescent="0.3">
      <c r="A66" s="36"/>
      <c r="B66" s="36"/>
      <c r="C66" s="36" t="s">
        <v>15</v>
      </c>
      <c r="D66" s="36"/>
      <c r="E66" s="37" t="s">
        <v>16</v>
      </c>
      <c r="F66" s="131">
        <f>F67+F69</f>
        <v>799.29999999999984</v>
      </c>
      <c r="G66" s="131"/>
      <c r="H66" s="131">
        <f>H67+H69</f>
        <v>799.29999999999984</v>
      </c>
      <c r="I66" s="131"/>
      <c r="J66" s="131">
        <f t="shared" ref="J66:P66" si="20">J67+J69</f>
        <v>799.29999999999984</v>
      </c>
      <c r="K66" s="131">
        <f t="shared" si="20"/>
        <v>376.40000000000003</v>
      </c>
      <c r="L66" s="131">
        <f t="shared" si="20"/>
        <v>0</v>
      </c>
      <c r="M66" s="131">
        <f t="shared" si="20"/>
        <v>376.40000000000003</v>
      </c>
      <c r="N66" s="131">
        <f t="shared" si="20"/>
        <v>559.1</v>
      </c>
      <c r="O66" s="131">
        <f t="shared" si="20"/>
        <v>0</v>
      </c>
      <c r="P66" s="131">
        <f t="shared" si="20"/>
        <v>559.1</v>
      </c>
    </row>
    <row r="67" spans="1:16" ht="53.45" x14ac:dyDescent="0.3">
      <c r="A67" s="7"/>
      <c r="B67" s="7"/>
      <c r="C67" s="7" t="s">
        <v>17</v>
      </c>
      <c r="D67" s="13"/>
      <c r="E67" s="3" t="s">
        <v>18</v>
      </c>
      <c r="F67" s="130">
        <f>1882.3-1327.4</f>
        <v>554.89999999999986</v>
      </c>
      <c r="G67" s="130"/>
      <c r="H67" s="130">
        <f>1882.3-1327.4</f>
        <v>554.89999999999986</v>
      </c>
      <c r="I67" s="130"/>
      <c r="J67" s="130">
        <f>1882.3-1327.4</f>
        <v>554.89999999999986</v>
      </c>
      <c r="K67" s="130">
        <f>K68</f>
        <v>376.40000000000003</v>
      </c>
      <c r="L67" s="130">
        <f>L68</f>
        <v>0</v>
      </c>
      <c r="M67" s="130">
        <f>M68</f>
        <v>376.40000000000003</v>
      </c>
      <c r="N67" s="130">
        <v>559.1</v>
      </c>
      <c r="O67" s="130"/>
      <c r="P67" s="130">
        <v>559.1</v>
      </c>
    </row>
    <row r="68" spans="1:16" ht="27" x14ac:dyDescent="0.3">
      <c r="A68" s="7"/>
      <c r="B68" s="7"/>
      <c r="C68" s="7"/>
      <c r="D68" s="7" t="s">
        <v>336</v>
      </c>
      <c r="E68" s="3" t="s">
        <v>337</v>
      </c>
      <c r="F68" s="130">
        <f>1882.3-1327.4</f>
        <v>554.89999999999986</v>
      </c>
      <c r="G68" s="130"/>
      <c r="H68" s="130">
        <f>1882.3-1327.4</f>
        <v>554.89999999999986</v>
      </c>
      <c r="I68" s="130"/>
      <c r="J68" s="130">
        <f>1882.3-1327.4</f>
        <v>554.89999999999986</v>
      </c>
      <c r="K68" s="130">
        <v>376.40000000000003</v>
      </c>
      <c r="L68" s="130">
        <v>0</v>
      </c>
      <c r="M68" s="130">
        <f>537.6-161.2</f>
        <v>376.40000000000003</v>
      </c>
      <c r="N68" s="130">
        <v>559.1</v>
      </c>
      <c r="O68" s="130"/>
      <c r="P68" s="130">
        <v>559.1</v>
      </c>
    </row>
    <row r="69" spans="1:16" ht="14.45" x14ac:dyDescent="0.3">
      <c r="A69" s="7"/>
      <c r="B69" s="7"/>
      <c r="C69" s="7" t="s">
        <v>544</v>
      </c>
      <c r="D69" s="13"/>
      <c r="E69" s="3" t="s">
        <v>19</v>
      </c>
      <c r="F69" s="130">
        <v>244.4</v>
      </c>
      <c r="G69" s="130"/>
      <c r="H69" s="130">
        <v>244.4</v>
      </c>
      <c r="I69" s="130"/>
      <c r="J69" s="130">
        <v>244.4</v>
      </c>
      <c r="K69" s="130">
        <f>K70</f>
        <v>0</v>
      </c>
      <c r="L69" s="130">
        <f>L70</f>
        <v>0</v>
      </c>
      <c r="M69" s="130">
        <f>M70</f>
        <v>0</v>
      </c>
      <c r="N69" s="130">
        <v>0</v>
      </c>
      <c r="O69" s="130">
        <f>O70</f>
        <v>0</v>
      </c>
      <c r="P69" s="130">
        <f>P70</f>
        <v>0</v>
      </c>
    </row>
    <row r="70" spans="1:16" ht="27" x14ac:dyDescent="0.3">
      <c r="A70" s="7"/>
      <c r="B70" s="7"/>
      <c r="C70" s="7"/>
      <c r="D70" s="7" t="s">
        <v>336</v>
      </c>
      <c r="E70" s="3" t="s">
        <v>337</v>
      </c>
      <c r="F70" s="130">
        <v>244.4</v>
      </c>
      <c r="G70" s="130"/>
      <c r="H70" s="130">
        <v>244.4</v>
      </c>
      <c r="I70" s="130"/>
      <c r="J70" s="130">
        <v>244.4</v>
      </c>
      <c r="K70" s="130">
        <v>0</v>
      </c>
      <c r="L70" s="130"/>
      <c r="M70" s="130">
        <v>0</v>
      </c>
      <c r="N70" s="130">
        <v>0</v>
      </c>
      <c r="O70" s="130">
        <v>0</v>
      </c>
      <c r="P70" s="130">
        <v>0</v>
      </c>
    </row>
    <row r="71" spans="1:16" ht="40.15" x14ac:dyDescent="0.3">
      <c r="A71" s="36"/>
      <c r="B71" s="36"/>
      <c r="C71" s="36" t="s">
        <v>20</v>
      </c>
      <c r="D71" s="36"/>
      <c r="E71" s="37" t="s">
        <v>21</v>
      </c>
      <c r="F71" s="144">
        <f>F72+F74</f>
        <v>119.8</v>
      </c>
      <c r="G71" s="144"/>
      <c r="H71" s="144">
        <f>H72+H74</f>
        <v>119.8</v>
      </c>
      <c r="I71" s="144"/>
      <c r="J71" s="144">
        <f>J72+J74</f>
        <v>119.8</v>
      </c>
      <c r="K71" s="144">
        <f>K72+K74</f>
        <v>124.60000000000001</v>
      </c>
      <c r="L71" s="144"/>
      <c r="M71" s="144">
        <f>M72+M74</f>
        <v>124.60000000000001</v>
      </c>
      <c r="N71" s="144">
        <f>N72+N74</f>
        <v>129.60000000000002</v>
      </c>
      <c r="O71" s="144"/>
      <c r="P71" s="144">
        <f>P72+P74</f>
        <v>129.60000000000002</v>
      </c>
    </row>
    <row r="72" spans="1:16" ht="27" x14ac:dyDescent="0.3">
      <c r="A72" s="81"/>
      <c r="B72" s="81"/>
      <c r="C72" s="7" t="s">
        <v>22</v>
      </c>
      <c r="D72" s="7"/>
      <c r="E72" s="3" t="s">
        <v>545</v>
      </c>
      <c r="F72" s="130">
        <v>35.799999999999997</v>
      </c>
      <c r="G72" s="130"/>
      <c r="H72" s="130">
        <v>35.799999999999997</v>
      </c>
      <c r="I72" s="130"/>
      <c r="J72" s="130">
        <v>35.799999999999997</v>
      </c>
      <c r="K72" s="130">
        <v>37.200000000000003</v>
      </c>
      <c r="L72" s="130"/>
      <c r="M72" s="130">
        <v>37.200000000000003</v>
      </c>
      <c r="N72" s="130">
        <v>38.700000000000003</v>
      </c>
      <c r="O72" s="130"/>
      <c r="P72" s="130">
        <v>38.700000000000003</v>
      </c>
    </row>
    <row r="73" spans="1:16" ht="27" x14ac:dyDescent="0.3">
      <c r="A73" s="81"/>
      <c r="B73" s="81"/>
      <c r="C73" s="7"/>
      <c r="D73" s="7" t="s">
        <v>336</v>
      </c>
      <c r="E73" s="3" t="s">
        <v>337</v>
      </c>
      <c r="F73" s="130">
        <v>35.799999999999997</v>
      </c>
      <c r="G73" s="130"/>
      <c r="H73" s="130">
        <v>35.799999999999997</v>
      </c>
      <c r="I73" s="130"/>
      <c r="J73" s="130">
        <v>35.799999999999997</v>
      </c>
      <c r="K73" s="130">
        <v>37.200000000000003</v>
      </c>
      <c r="L73" s="130"/>
      <c r="M73" s="130">
        <v>37.200000000000003</v>
      </c>
      <c r="N73" s="130">
        <v>38.700000000000003</v>
      </c>
      <c r="O73" s="130"/>
      <c r="P73" s="130">
        <v>38.700000000000003</v>
      </c>
    </row>
    <row r="74" spans="1:16" ht="53.45" x14ac:dyDescent="0.3">
      <c r="A74" s="81"/>
      <c r="B74" s="81"/>
      <c r="C74" s="7" t="s">
        <v>23</v>
      </c>
      <c r="D74" s="7"/>
      <c r="E74" s="9" t="s">
        <v>24</v>
      </c>
      <c r="F74" s="130">
        <v>84</v>
      </c>
      <c r="G74" s="130"/>
      <c r="H74" s="130">
        <v>84</v>
      </c>
      <c r="I74" s="130"/>
      <c r="J74" s="130">
        <v>84</v>
      </c>
      <c r="K74" s="130">
        <v>87.4</v>
      </c>
      <c r="L74" s="130"/>
      <c r="M74" s="130">
        <v>87.4</v>
      </c>
      <c r="N74" s="130">
        <v>90.9</v>
      </c>
      <c r="O74" s="130"/>
      <c r="P74" s="130">
        <v>90.9</v>
      </c>
    </row>
    <row r="75" spans="1:16" ht="27" x14ac:dyDescent="0.3">
      <c r="A75" s="81"/>
      <c r="B75" s="81"/>
      <c r="C75" s="7"/>
      <c r="D75" s="7" t="s">
        <v>336</v>
      </c>
      <c r="E75" s="3" t="s">
        <v>337</v>
      </c>
      <c r="F75" s="130">
        <v>84</v>
      </c>
      <c r="G75" s="130"/>
      <c r="H75" s="130">
        <v>84</v>
      </c>
      <c r="I75" s="130"/>
      <c r="J75" s="130">
        <v>84</v>
      </c>
      <c r="K75" s="130">
        <v>87.4</v>
      </c>
      <c r="L75" s="130"/>
      <c r="M75" s="130">
        <v>87.4</v>
      </c>
      <c r="N75" s="130">
        <v>90.9</v>
      </c>
      <c r="O75" s="130"/>
      <c r="P75" s="130">
        <v>90.9</v>
      </c>
    </row>
    <row r="76" spans="1:16" ht="40.15" x14ac:dyDescent="0.3">
      <c r="A76" s="34"/>
      <c r="B76" s="34"/>
      <c r="C76" s="34" t="s">
        <v>35</v>
      </c>
      <c r="D76" s="34"/>
      <c r="E76" s="35" t="s">
        <v>36</v>
      </c>
      <c r="F76" s="139">
        <f t="shared" ref="F76:P77" si="21">F77</f>
        <v>1085.5</v>
      </c>
      <c r="G76" s="139"/>
      <c r="H76" s="139">
        <f t="shared" si="21"/>
        <v>1085.5</v>
      </c>
      <c r="I76" s="139"/>
      <c r="J76" s="139">
        <f t="shared" si="21"/>
        <v>1085.5</v>
      </c>
      <c r="K76" s="139">
        <f t="shared" si="21"/>
        <v>1134.4000000000001</v>
      </c>
      <c r="L76" s="139"/>
      <c r="M76" s="139">
        <f t="shared" si="21"/>
        <v>1134.4000000000001</v>
      </c>
      <c r="N76" s="139">
        <f t="shared" si="21"/>
        <v>1134.4000000000001</v>
      </c>
      <c r="O76" s="139"/>
      <c r="P76" s="139">
        <f t="shared" si="21"/>
        <v>1134.4000000000001</v>
      </c>
    </row>
    <row r="77" spans="1:16" ht="27" x14ac:dyDescent="0.3">
      <c r="A77" s="36"/>
      <c r="B77" s="36"/>
      <c r="C77" s="36" t="s">
        <v>37</v>
      </c>
      <c r="D77" s="39"/>
      <c r="E77" s="37" t="s">
        <v>38</v>
      </c>
      <c r="F77" s="131">
        <f>F78</f>
        <v>1085.5</v>
      </c>
      <c r="G77" s="131"/>
      <c r="H77" s="131">
        <f>H78</f>
        <v>1085.5</v>
      </c>
      <c r="I77" s="131"/>
      <c r="J77" s="131">
        <f>J78</f>
        <v>1085.5</v>
      </c>
      <c r="K77" s="131">
        <f t="shared" si="21"/>
        <v>1134.4000000000001</v>
      </c>
      <c r="L77" s="131"/>
      <c r="M77" s="131">
        <f t="shared" si="21"/>
        <v>1134.4000000000001</v>
      </c>
      <c r="N77" s="131">
        <f t="shared" si="21"/>
        <v>1134.4000000000001</v>
      </c>
      <c r="O77" s="131"/>
      <c r="P77" s="131">
        <f t="shared" si="21"/>
        <v>1134.4000000000001</v>
      </c>
    </row>
    <row r="78" spans="1:16" ht="14.45" x14ac:dyDescent="0.3">
      <c r="A78" s="7"/>
      <c r="B78" s="7"/>
      <c r="C78" s="7" t="s">
        <v>52</v>
      </c>
      <c r="D78" s="7"/>
      <c r="E78" s="3" t="s">
        <v>53</v>
      </c>
      <c r="F78" s="145">
        <v>1085.5</v>
      </c>
      <c r="G78" s="145"/>
      <c r="H78" s="145">
        <v>1085.5</v>
      </c>
      <c r="I78" s="145"/>
      <c r="J78" s="145">
        <v>1085.5</v>
      </c>
      <c r="K78" s="145">
        <v>1134.4000000000001</v>
      </c>
      <c r="L78" s="145"/>
      <c r="M78" s="145">
        <v>1134.4000000000001</v>
      </c>
      <c r="N78" s="145">
        <v>1134.4000000000001</v>
      </c>
      <c r="O78" s="145"/>
      <c r="P78" s="145">
        <v>1134.4000000000001</v>
      </c>
    </row>
    <row r="79" spans="1:16" ht="40.15" x14ac:dyDescent="0.3">
      <c r="A79" s="7"/>
      <c r="B79" s="7"/>
      <c r="C79" s="7"/>
      <c r="D79" s="7" t="s">
        <v>505</v>
      </c>
      <c r="E79" s="3" t="s">
        <v>506</v>
      </c>
      <c r="F79" s="145">
        <v>1053.2</v>
      </c>
      <c r="G79" s="145"/>
      <c r="H79" s="145">
        <v>1053.2</v>
      </c>
      <c r="I79" s="145"/>
      <c r="J79" s="145">
        <v>1053.2</v>
      </c>
      <c r="K79" s="145">
        <v>1053.2</v>
      </c>
      <c r="L79" s="145"/>
      <c r="M79" s="145">
        <v>1053.2</v>
      </c>
      <c r="N79" s="145">
        <v>1053.2</v>
      </c>
      <c r="O79" s="145"/>
      <c r="P79" s="145">
        <v>1053.2</v>
      </c>
    </row>
    <row r="80" spans="1:16" ht="27" x14ac:dyDescent="0.3">
      <c r="A80" s="7"/>
      <c r="B80" s="7"/>
      <c r="C80" s="7"/>
      <c r="D80" s="7" t="s">
        <v>336</v>
      </c>
      <c r="E80" s="3" t="s">
        <v>337</v>
      </c>
      <c r="F80" s="145">
        <v>32.299999999999997</v>
      </c>
      <c r="G80" s="145"/>
      <c r="H80" s="145">
        <v>32.299999999999997</v>
      </c>
      <c r="I80" s="145"/>
      <c r="J80" s="145">
        <v>32.299999999999997</v>
      </c>
      <c r="K80" s="145">
        <v>81.2</v>
      </c>
      <c r="L80" s="145"/>
      <c r="M80" s="145">
        <v>81.2</v>
      </c>
      <c r="N80" s="145">
        <v>81.2</v>
      </c>
      <c r="O80" s="145"/>
      <c r="P80" s="145">
        <v>81.2</v>
      </c>
    </row>
    <row r="81" spans="1:16" ht="27" x14ac:dyDescent="0.3">
      <c r="A81" s="34"/>
      <c r="B81" s="34"/>
      <c r="C81" s="34" t="s">
        <v>55</v>
      </c>
      <c r="D81" s="34"/>
      <c r="E81" s="35" t="s">
        <v>56</v>
      </c>
      <c r="F81" s="139">
        <f>F82</f>
        <v>137.5</v>
      </c>
      <c r="G81" s="139"/>
      <c r="H81" s="139">
        <f>H82</f>
        <v>137.5</v>
      </c>
      <c r="I81" s="139"/>
      <c r="J81" s="139">
        <f>J82</f>
        <v>137.5</v>
      </c>
      <c r="K81" s="139">
        <f>K82</f>
        <v>143</v>
      </c>
      <c r="L81" s="139"/>
      <c r="M81" s="139">
        <f>M82</f>
        <v>143</v>
      </c>
      <c r="N81" s="139">
        <f>N82</f>
        <v>148.80000000000001</v>
      </c>
      <c r="O81" s="139"/>
      <c r="P81" s="139">
        <f>P82</f>
        <v>148.80000000000001</v>
      </c>
    </row>
    <row r="82" spans="1:16" ht="27" x14ac:dyDescent="0.3">
      <c r="A82" s="36"/>
      <c r="B82" s="36"/>
      <c r="C82" s="36" t="s">
        <v>57</v>
      </c>
      <c r="D82" s="39"/>
      <c r="E82" s="37" t="s">
        <v>58</v>
      </c>
      <c r="F82" s="131">
        <f>F83+F85+F87</f>
        <v>137.5</v>
      </c>
      <c r="G82" s="131"/>
      <c r="H82" s="131">
        <f>H83+H85+H87</f>
        <v>137.5</v>
      </c>
      <c r="I82" s="131"/>
      <c r="J82" s="131">
        <f>J83+J85+J87</f>
        <v>137.5</v>
      </c>
      <c r="K82" s="131">
        <f>K83+K85+K87</f>
        <v>143</v>
      </c>
      <c r="L82" s="131"/>
      <c r="M82" s="131">
        <f>M83+M85+M87</f>
        <v>143</v>
      </c>
      <c r="N82" s="131">
        <f>N83+N85+N87</f>
        <v>148.80000000000001</v>
      </c>
      <c r="O82" s="131"/>
      <c r="P82" s="131">
        <f>P83+P85+P87</f>
        <v>148.80000000000001</v>
      </c>
    </row>
    <row r="83" spans="1:16" ht="27" x14ac:dyDescent="0.3">
      <c r="A83" s="81"/>
      <c r="B83" s="81"/>
      <c r="C83" s="7" t="s">
        <v>59</v>
      </c>
      <c r="D83" s="7"/>
      <c r="E83" s="9" t="s">
        <v>60</v>
      </c>
      <c r="F83" s="145">
        <v>18.2</v>
      </c>
      <c r="G83" s="145"/>
      <c r="H83" s="145">
        <v>18.2</v>
      </c>
      <c r="I83" s="145"/>
      <c r="J83" s="145">
        <v>18.2</v>
      </c>
      <c r="K83" s="145">
        <v>18.899999999999999</v>
      </c>
      <c r="L83" s="145"/>
      <c r="M83" s="145">
        <v>18.899999999999999</v>
      </c>
      <c r="N83" s="145">
        <v>19.7</v>
      </c>
      <c r="O83" s="145"/>
      <c r="P83" s="145">
        <v>19.7</v>
      </c>
    </row>
    <row r="84" spans="1:16" ht="27" x14ac:dyDescent="0.3">
      <c r="A84" s="81"/>
      <c r="B84" s="81"/>
      <c r="C84" s="7"/>
      <c r="D84" s="7" t="s">
        <v>336</v>
      </c>
      <c r="E84" s="3" t="s">
        <v>337</v>
      </c>
      <c r="F84" s="145">
        <v>18.2</v>
      </c>
      <c r="G84" s="145"/>
      <c r="H84" s="145">
        <v>18.2</v>
      </c>
      <c r="I84" s="145"/>
      <c r="J84" s="145">
        <v>18.2</v>
      </c>
      <c r="K84" s="145">
        <v>18.899999999999999</v>
      </c>
      <c r="L84" s="145"/>
      <c r="M84" s="145">
        <v>18.899999999999999</v>
      </c>
      <c r="N84" s="145">
        <v>19.7</v>
      </c>
      <c r="O84" s="145"/>
      <c r="P84" s="145">
        <v>19.7</v>
      </c>
    </row>
    <row r="85" spans="1:16" ht="14.45" x14ac:dyDescent="0.3">
      <c r="A85" s="81"/>
      <c r="B85" s="81"/>
      <c r="C85" s="7" t="s">
        <v>61</v>
      </c>
      <c r="D85" s="7"/>
      <c r="E85" s="9" t="s">
        <v>62</v>
      </c>
      <c r="F85" s="145">
        <v>88</v>
      </c>
      <c r="G85" s="145"/>
      <c r="H85" s="145">
        <v>88</v>
      </c>
      <c r="I85" s="145"/>
      <c r="J85" s="145">
        <v>88</v>
      </c>
      <c r="K85" s="145">
        <v>91.5</v>
      </c>
      <c r="L85" s="145"/>
      <c r="M85" s="145">
        <v>91.5</v>
      </c>
      <c r="N85" s="145">
        <v>95.2</v>
      </c>
      <c r="O85" s="145"/>
      <c r="P85" s="145">
        <v>95.2</v>
      </c>
    </row>
    <row r="86" spans="1:16" ht="27" x14ac:dyDescent="0.3">
      <c r="A86" s="81"/>
      <c r="B86" s="81"/>
      <c r="C86" s="7"/>
      <c r="D86" s="7" t="s">
        <v>336</v>
      </c>
      <c r="E86" s="3" t="s">
        <v>337</v>
      </c>
      <c r="F86" s="145">
        <v>88</v>
      </c>
      <c r="G86" s="145"/>
      <c r="H86" s="145">
        <v>88</v>
      </c>
      <c r="I86" s="145"/>
      <c r="J86" s="145">
        <v>88</v>
      </c>
      <c r="K86" s="145">
        <v>91.5</v>
      </c>
      <c r="L86" s="145"/>
      <c r="M86" s="145">
        <v>91.5</v>
      </c>
      <c r="N86" s="145">
        <v>95.2</v>
      </c>
      <c r="O86" s="145"/>
      <c r="P86" s="145">
        <v>95.2</v>
      </c>
    </row>
    <row r="87" spans="1:16" ht="14.45" x14ac:dyDescent="0.3">
      <c r="A87" s="81"/>
      <c r="B87" s="81"/>
      <c r="C87" s="7" t="s">
        <v>63</v>
      </c>
      <c r="D87" s="7"/>
      <c r="E87" s="9" t="s">
        <v>64</v>
      </c>
      <c r="F87" s="145">
        <v>31.3</v>
      </c>
      <c r="G87" s="145"/>
      <c r="H87" s="145">
        <v>31.3</v>
      </c>
      <c r="I87" s="145"/>
      <c r="J87" s="145">
        <v>31.3</v>
      </c>
      <c r="K87" s="145">
        <v>32.6</v>
      </c>
      <c r="L87" s="145"/>
      <c r="M87" s="145">
        <v>32.6</v>
      </c>
      <c r="N87" s="145">
        <v>33.9</v>
      </c>
      <c r="O87" s="145"/>
      <c r="P87" s="145">
        <v>33.9</v>
      </c>
    </row>
    <row r="88" spans="1:16" ht="27" x14ac:dyDescent="0.3">
      <c r="A88" s="81"/>
      <c r="B88" s="81"/>
      <c r="C88" s="7"/>
      <c r="D88" s="7" t="s">
        <v>336</v>
      </c>
      <c r="E88" s="3" t="s">
        <v>337</v>
      </c>
      <c r="F88" s="145">
        <v>31.3</v>
      </c>
      <c r="G88" s="145"/>
      <c r="H88" s="145">
        <v>31.3</v>
      </c>
      <c r="I88" s="145"/>
      <c r="J88" s="145">
        <v>31.3</v>
      </c>
      <c r="K88" s="145">
        <v>32.6</v>
      </c>
      <c r="L88" s="145"/>
      <c r="M88" s="145">
        <v>32.6</v>
      </c>
      <c r="N88" s="145">
        <v>33.9</v>
      </c>
      <c r="O88" s="145"/>
      <c r="P88" s="145">
        <v>33.9</v>
      </c>
    </row>
    <row r="89" spans="1:16" ht="26.45" x14ac:dyDescent="0.3">
      <c r="A89" s="93"/>
      <c r="B89" s="94"/>
      <c r="C89" s="95" t="s">
        <v>190</v>
      </c>
      <c r="D89" s="94"/>
      <c r="E89" s="96" t="s">
        <v>191</v>
      </c>
      <c r="F89" s="138">
        <f>F90</f>
        <v>300</v>
      </c>
      <c r="G89" s="138"/>
      <c r="H89" s="138">
        <f>H90</f>
        <v>300</v>
      </c>
      <c r="I89" s="138"/>
      <c r="J89" s="138">
        <f>J90</f>
        <v>300</v>
      </c>
      <c r="K89" s="138">
        <f>K90</f>
        <v>312</v>
      </c>
      <c r="L89" s="138"/>
      <c r="M89" s="138">
        <f>M90</f>
        <v>312</v>
      </c>
      <c r="N89" s="138">
        <f>N90</f>
        <v>324.5</v>
      </c>
      <c r="O89" s="138"/>
      <c r="P89" s="138">
        <f>P90</f>
        <v>324.5</v>
      </c>
    </row>
    <row r="90" spans="1:16" ht="27" x14ac:dyDescent="0.3">
      <c r="A90" s="50"/>
      <c r="B90" s="50"/>
      <c r="C90" s="50" t="s">
        <v>192</v>
      </c>
      <c r="D90" s="50"/>
      <c r="E90" s="51" t="s">
        <v>193</v>
      </c>
      <c r="F90" s="139">
        <f t="shared" ref="F90:P91" si="22">F91</f>
        <v>300</v>
      </c>
      <c r="G90" s="139"/>
      <c r="H90" s="139">
        <f t="shared" si="22"/>
        <v>300</v>
      </c>
      <c r="I90" s="139"/>
      <c r="J90" s="139">
        <f t="shared" si="22"/>
        <v>300</v>
      </c>
      <c r="K90" s="139">
        <f t="shared" si="22"/>
        <v>312</v>
      </c>
      <c r="L90" s="139"/>
      <c r="M90" s="139">
        <f t="shared" si="22"/>
        <v>312</v>
      </c>
      <c r="N90" s="139">
        <f t="shared" si="22"/>
        <v>324.5</v>
      </c>
      <c r="O90" s="139"/>
      <c r="P90" s="139">
        <f t="shared" si="22"/>
        <v>324.5</v>
      </c>
    </row>
    <row r="91" spans="1:16" ht="27" x14ac:dyDescent="0.3">
      <c r="A91" s="36"/>
      <c r="B91" s="36"/>
      <c r="C91" s="36" t="s">
        <v>194</v>
      </c>
      <c r="D91" s="36"/>
      <c r="E91" s="37" t="s">
        <v>195</v>
      </c>
      <c r="F91" s="131">
        <f t="shared" si="22"/>
        <v>300</v>
      </c>
      <c r="G91" s="131"/>
      <c r="H91" s="131">
        <f t="shared" si="22"/>
        <v>300</v>
      </c>
      <c r="I91" s="131"/>
      <c r="J91" s="131">
        <f t="shared" si="22"/>
        <v>300</v>
      </c>
      <c r="K91" s="131">
        <f t="shared" si="22"/>
        <v>312</v>
      </c>
      <c r="L91" s="131"/>
      <c r="M91" s="131">
        <f t="shared" si="22"/>
        <v>312</v>
      </c>
      <c r="N91" s="131">
        <f t="shared" si="22"/>
        <v>324.5</v>
      </c>
      <c r="O91" s="131"/>
      <c r="P91" s="131">
        <f t="shared" si="22"/>
        <v>324.5</v>
      </c>
    </row>
    <row r="92" spans="1:16" ht="27" x14ac:dyDescent="0.3">
      <c r="A92" s="7"/>
      <c r="B92" s="7"/>
      <c r="C92" s="7" t="s">
        <v>196</v>
      </c>
      <c r="D92" s="7"/>
      <c r="E92" s="52" t="s">
        <v>197</v>
      </c>
      <c r="F92" s="130">
        <v>300</v>
      </c>
      <c r="G92" s="130"/>
      <c r="H92" s="130">
        <v>300</v>
      </c>
      <c r="I92" s="130"/>
      <c r="J92" s="130">
        <v>300</v>
      </c>
      <c r="K92" s="130">
        <v>312</v>
      </c>
      <c r="L92" s="130"/>
      <c r="M92" s="130">
        <v>312</v>
      </c>
      <c r="N92" s="130">
        <v>324.5</v>
      </c>
      <c r="O92" s="130"/>
      <c r="P92" s="130">
        <v>324.5</v>
      </c>
    </row>
    <row r="93" spans="1:16" ht="27" x14ac:dyDescent="0.3">
      <c r="A93" s="7"/>
      <c r="B93" s="7"/>
      <c r="C93" s="7"/>
      <c r="D93" s="7" t="s">
        <v>608</v>
      </c>
      <c r="E93" s="3" t="s">
        <v>609</v>
      </c>
      <c r="F93" s="130">
        <v>300</v>
      </c>
      <c r="G93" s="130"/>
      <c r="H93" s="130">
        <v>300</v>
      </c>
      <c r="I93" s="130"/>
      <c r="J93" s="130">
        <v>300</v>
      </c>
      <c r="K93" s="130">
        <v>312</v>
      </c>
      <c r="L93" s="130"/>
      <c r="M93" s="130">
        <v>312</v>
      </c>
      <c r="N93" s="130">
        <v>324.5</v>
      </c>
      <c r="O93" s="130"/>
      <c r="P93" s="130">
        <v>324.5</v>
      </c>
    </row>
    <row r="94" spans="1:16" ht="39.6" x14ac:dyDescent="0.3">
      <c r="A94" s="93"/>
      <c r="B94" s="94"/>
      <c r="C94" s="95" t="s">
        <v>237</v>
      </c>
      <c r="D94" s="94"/>
      <c r="E94" s="96" t="s">
        <v>238</v>
      </c>
      <c r="F94" s="138"/>
      <c r="G94" s="138"/>
      <c r="H94" s="138">
        <v>0</v>
      </c>
      <c r="I94" s="138"/>
      <c r="J94" s="138">
        <v>0</v>
      </c>
      <c r="K94" s="138">
        <f t="shared" ref="K94:M96" si="23">K95</f>
        <v>30.60155</v>
      </c>
      <c r="L94" s="138">
        <f t="shared" si="23"/>
        <v>0</v>
      </c>
      <c r="M94" s="138">
        <f t="shared" si="23"/>
        <v>30.60155</v>
      </c>
      <c r="N94" s="138">
        <v>31.164829999999998</v>
      </c>
      <c r="O94" s="138">
        <f t="shared" ref="O94:P96" si="24">O95</f>
        <v>0</v>
      </c>
      <c r="P94" s="138">
        <f t="shared" si="24"/>
        <v>31.164829999999998</v>
      </c>
    </row>
    <row r="95" spans="1:16" ht="27" x14ac:dyDescent="0.3">
      <c r="A95" s="36"/>
      <c r="B95" s="36"/>
      <c r="C95" s="36" t="s">
        <v>239</v>
      </c>
      <c r="D95" s="36"/>
      <c r="E95" s="37" t="s">
        <v>659</v>
      </c>
      <c r="F95" s="131"/>
      <c r="G95" s="131"/>
      <c r="H95" s="131">
        <v>0</v>
      </c>
      <c r="I95" s="131"/>
      <c r="J95" s="131">
        <v>0</v>
      </c>
      <c r="K95" s="131">
        <f t="shared" si="23"/>
        <v>30.60155</v>
      </c>
      <c r="L95" s="131">
        <f t="shared" si="23"/>
        <v>0</v>
      </c>
      <c r="M95" s="131">
        <f t="shared" si="23"/>
        <v>30.60155</v>
      </c>
      <c r="N95" s="131">
        <v>31.164829999999998</v>
      </c>
      <c r="O95" s="131">
        <f t="shared" si="24"/>
        <v>0</v>
      </c>
      <c r="P95" s="131">
        <f t="shared" si="24"/>
        <v>31.164829999999998</v>
      </c>
    </row>
    <row r="96" spans="1:16" ht="40.15" x14ac:dyDescent="0.3">
      <c r="A96" s="7"/>
      <c r="B96" s="7"/>
      <c r="C96" s="7" t="s">
        <v>813</v>
      </c>
      <c r="D96" s="7"/>
      <c r="E96" s="3" t="s">
        <v>815</v>
      </c>
      <c r="F96" s="130"/>
      <c r="G96" s="130"/>
      <c r="H96" s="130">
        <v>0</v>
      </c>
      <c r="I96" s="130"/>
      <c r="J96" s="130">
        <v>0</v>
      </c>
      <c r="K96" s="130">
        <f t="shared" si="23"/>
        <v>30.60155</v>
      </c>
      <c r="L96" s="130">
        <f t="shared" si="23"/>
        <v>0</v>
      </c>
      <c r="M96" s="130">
        <f t="shared" si="23"/>
        <v>30.60155</v>
      </c>
      <c r="N96" s="130">
        <v>31.164829999999998</v>
      </c>
      <c r="O96" s="130">
        <f t="shared" si="24"/>
        <v>0</v>
      </c>
      <c r="P96" s="130">
        <f t="shared" si="24"/>
        <v>31.164829999999998</v>
      </c>
    </row>
    <row r="97" spans="1:16" ht="27" x14ac:dyDescent="0.3">
      <c r="A97" s="7"/>
      <c r="B97" s="7"/>
      <c r="C97" s="7"/>
      <c r="D97" s="7" t="s">
        <v>336</v>
      </c>
      <c r="E97" s="3" t="s">
        <v>337</v>
      </c>
      <c r="F97" s="130"/>
      <c r="G97" s="130"/>
      <c r="H97" s="130">
        <v>0</v>
      </c>
      <c r="I97" s="130"/>
      <c r="J97" s="130">
        <v>0</v>
      </c>
      <c r="K97" s="130">
        <v>30.60155</v>
      </c>
      <c r="L97" s="130"/>
      <c r="M97" s="130">
        <f>K97+L97</f>
        <v>30.60155</v>
      </c>
      <c r="N97" s="130">
        <v>31.164829999999998</v>
      </c>
      <c r="O97" s="130">
        <f>O98+O99</f>
        <v>0</v>
      </c>
      <c r="P97" s="130">
        <f>P99</f>
        <v>31.164829999999998</v>
      </c>
    </row>
    <row r="98" spans="1:16" ht="14.45" x14ac:dyDescent="0.3">
      <c r="A98" s="7"/>
      <c r="B98" s="7"/>
      <c r="C98" s="7"/>
      <c r="D98" s="7"/>
      <c r="E98" s="1" t="s">
        <v>219</v>
      </c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</row>
    <row r="99" spans="1:16" x14ac:dyDescent="0.25">
      <c r="A99" s="7"/>
      <c r="B99" s="7"/>
      <c r="C99" s="7"/>
      <c r="D99" s="7"/>
      <c r="E99" s="3" t="s">
        <v>171</v>
      </c>
      <c r="F99" s="130"/>
      <c r="G99" s="130"/>
      <c r="H99" s="130"/>
      <c r="I99" s="130"/>
      <c r="J99" s="130">
        <v>0</v>
      </c>
      <c r="K99" s="130">
        <v>30.60155</v>
      </c>
      <c r="L99" s="130"/>
      <c r="M99" s="130">
        <f>K99+L99</f>
        <v>30.60155</v>
      </c>
      <c r="N99" s="130">
        <v>31.164829999999998</v>
      </c>
      <c r="O99" s="130"/>
      <c r="P99" s="130">
        <v>31.164829999999998</v>
      </c>
    </row>
    <row r="100" spans="1:16" ht="14.45" x14ac:dyDescent="0.3">
      <c r="A100" s="194"/>
      <c r="B100" s="194"/>
      <c r="C100" s="194" t="s">
        <v>500</v>
      </c>
      <c r="D100" s="194"/>
      <c r="E100" s="195" t="s">
        <v>501</v>
      </c>
      <c r="F100" s="192">
        <f t="shared" ref="F100:P100" si="25">F101</f>
        <v>30704.499999999996</v>
      </c>
      <c r="G100" s="192">
        <f t="shared" si="25"/>
        <v>3118.1000000000004</v>
      </c>
      <c r="H100" s="192">
        <f t="shared" si="25"/>
        <v>36074.899999999994</v>
      </c>
      <c r="I100" s="192">
        <f t="shared" si="25"/>
        <v>186.59999999999997</v>
      </c>
      <c r="J100" s="192">
        <f t="shared" si="25"/>
        <v>36261.499999999993</v>
      </c>
      <c r="K100" s="192">
        <f t="shared" si="25"/>
        <v>30667</v>
      </c>
      <c r="L100" s="192">
        <f t="shared" si="25"/>
        <v>0</v>
      </c>
      <c r="M100" s="192">
        <f t="shared" si="25"/>
        <v>30667</v>
      </c>
      <c r="N100" s="192">
        <f t="shared" si="25"/>
        <v>31035.3</v>
      </c>
      <c r="O100" s="192">
        <f t="shared" si="25"/>
        <v>0</v>
      </c>
      <c r="P100" s="192">
        <f t="shared" si="25"/>
        <v>31035.3</v>
      </c>
    </row>
    <row r="101" spans="1:16" ht="40.15" x14ac:dyDescent="0.3">
      <c r="A101" s="72"/>
      <c r="B101" s="72"/>
      <c r="C101" s="72" t="s">
        <v>509</v>
      </c>
      <c r="D101" s="72"/>
      <c r="E101" s="74" t="s">
        <v>510</v>
      </c>
      <c r="F101" s="153">
        <f t="shared" ref="F101:O101" si="26">F102+F110+F112</f>
        <v>30704.499999999996</v>
      </c>
      <c r="G101" s="153">
        <f t="shared" si="26"/>
        <v>3118.1000000000004</v>
      </c>
      <c r="H101" s="153">
        <f>H102+H110+H112+H106</f>
        <v>36074.899999999994</v>
      </c>
      <c r="I101" s="153">
        <f>I102+I110+I112+I106+I108</f>
        <v>186.59999999999997</v>
      </c>
      <c r="J101" s="153">
        <f>J102+J110+J112+J106</f>
        <v>36261.499999999993</v>
      </c>
      <c r="K101" s="153">
        <f t="shared" si="26"/>
        <v>30667</v>
      </c>
      <c r="L101" s="153">
        <f t="shared" si="26"/>
        <v>0</v>
      </c>
      <c r="M101" s="153">
        <f t="shared" si="26"/>
        <v>30667</v>
      </c>
      <c r="N101" s="153">
        <f t="shared" si="26"/>
        <v>31035.3</v>
      </c>
      <c r="O101" s="153">
        <f t="shared" si="26"/>
        <v>0</v>
      </c>
      <c r="P101" s="153">
        <f>P102+P110+P112</f>
        <v>31035.3</v>
      </c>
    </row>
    <row r="102" spans="1:16" ht="27" x14ac:dyDescent="0.3">
      <c r="A102" s="81"/>
      <c r="B102" s="81"/>
      <c r="C102" s="7" t="s">
        <v>522</v>
      </c>
      <c r="D102" s="7"/>
      <c r="E102" s="9" t="s">
        <v>523</v>
      </c>
      <c r="F102" s="130">
        <f>F103+F104+F105</f>
        <v>30264.499999999996</v>
      </c>
      <c r="G102" s="146">
        <f>G103+G104+G105</f>
        <v>3093.1000000000004</v>
      </c>
      <c r="H102" s="130">
        <f>H103+H104+H105</f>
        <v>34743.099999999991</v>
      </c>
      <c r="I102" s="146">
        <f>I103+I104</f>
        <v>132.19999999999999</v>
      </c>
      <c r="J102" s="130">
        <f>J103+J104+J105+J108</f>
        <v>34974.899999999994</v>
      </c>
      <c r="K102" s="130">
        <f>K103+K104+K105</f>
        <v>30467</v>
      </c>
      <c r="L102" s="130">
        <f>L103</f>
        <v>0</v>
      </c>
      <c r="M102" s="130">
        <f>M103+M104+M105</f>
        <v>30467</v>
      </c>
      <c r="N102" s="130">
        <f>N103+N104+N105</f>
        <v>30835.3</v>
      </c>
      <c r="O102" s="130">
        <f>O103</f>
        <v>0</v>
      </c>
      <c r="P102" s="130">
        <f>P103+P104+P105</f>
        <v>30835.3</v>
      </c>
    </row>
    <row r="103" spans="1:16" ht="40.15" x14ac:dyDescent="0.3">
      <c r="A103" s="81"/>
      <c r="B103" s="81"/>
      <c r="C103" s="7"/>
      <c r="D103" s="7" t="s">
        <v>505</v>
      </c>
      <c r="E103" s="3" t="s">
        <v>506</v>
      </c>
      <c r="F103" s="130">
        <v>16275.599999999999</v>
      </c>
      <c r="G103" s="146"/>
      <c r="H103" s="130">
        <v>17072.5</v>
      </c>
      <c r="I103" s="130"/>
      <c r="J103" s="130">
        <f>SUM(H103:I103)</f>
        <v>17072.5</v>
      </c>
      <c r="K103" s="130">
        <v>16133.5</v>
      </c>
      <c r="L103" s="130"/>
      <c r="M103" s="130">
        <f>SUM(K103:L103)</f>
        <v>16133.5</v>
      </c>
      <c r="N103" s="130">
        <v>16133.5</v>
      </c>
      <c r="O103" s="130"/>
      <c r="P103" s="130">
        <f>SUM(N103:O103)</f>
        <v>16133.5</v>
      </c>
    </row>
    <row r="104" spans="1:16" ht="27" x14ac:dyDescent="0.3">
      <c r="A104" s="81"/>
      <c r="B104" s="81"/>
      <c r="C104" s="7"/>
      <c r="D104" s="7" t="s">
        <v>336</v>
      </c>
      <c r="E104" s="3" t="s">
        <v>337</v>
      </c>
      <c r="F104" s="130">
        <v>13529.199999999999</v>
      </c>
      <c r="G104" s="146">
        <f>9.8+3000+83.3</f>
        <v>3093.1000000000004</v>
      </c>
      <c r="H104" s="130">
        <v>17210.899999999998</v>
      </c>
      <c r="I104" s="146">
        <f>87+45.2</f>
        <v>132.19999999999999</v>
      </c>
      <c r="J104" s="130">
        <f>SUM(H104:I104)</f>
        <v>17343.099999999999</v>
      </c>
      <c r="K104" s="130">
        <v>13882.4</v>
      </c>
      <c r="L104" s="130"/>
      <c r="M104" s="130">
        <v>13882.4</v>
      </c>
      <c r="N104" s="130">
        <v>14250.7</v>
      </c>
      <c r="O104" s="130"/>
      <c r="P104" s="130">
        <v>14250.7</v>
      </c>
    </row>
    <row r="105" spans="1:16" ht="14.45" x14ac:dyDescent="0.3">
      <c r="A105" s="81"/>
      <c r="B105" s="81"/>
      <c r="C105" s="7"/>
      <c r="D105" s="7" t="s">
        <v>513</v>
      </c>
      <c r="E105" s="3" t="s">
        <v>514</v>
      </c>
      <c r="F105" s="130">
        <f>451.1+8.6</f>
        <v>459.70000000000005</v>
      </c>
      <c r="G105" s="146"/>
      <c r="H105" s="130">
        <f>451.1+8.6</f>
        <v>459.70000000000005</v>
      </c>
      <c r="I105" s="130"/>
      <c r="J105" s="130">
        <f>451.1+8.6</f>
        <v>459.70000000000005</v>
      </c>
      <c r="K105" s="130">
        <v>451.1</v>
      </c>
      <c r="L105" s="130"/>
      <c r="M105" s="130">
        <v>451.1</v>
      </c>
      <c r="N105" s="130">
        <v>451.1</v>
      </c>
      <c r="O105" s="130"/>
      <c r="P105" s="130">
        <v>451.1</v>
      </c>
    </row>
    <row r="106" spans="1:16" ht="14.45" x14ac:dyDescent="0.3">
      <c r="A106" s="81"/>
      <c r="B106" s="81"/>
      <c r="C106" s="17" t="s">
        <v>524</v>
      </c>
      <c r="D106" s="17"/>
      <c r="E106" s="1" t="s">
        <v>525</v>
      </c>
      <c r="F106" s="130">
        <v>0</v>
      </c>
      <c r="G106" s="146"/>
      <c r="H106" s="130">
        <f>H107</f>
        <v>866.8</v>
      </c>
      <c r="I106" s="130">
        <f>SUM(I107)</f>
        <v>-45.2</v>
      </c>
      <c r="J106" s="130">
        <f>J107</f>
        <v>821.59999999999991</v>
      </c>
      <c r="K106" s="130">
        <v>0</v>
      </c>
      <c r="L106" s="130"/>
      <c r="M106" s="130">
        <v>0</v>
      </c>
      <c r="N106" s="130">
        <v>0</v>
      </c>
      <c r="O106" s="130"/>
      <c r="P106" s="130">
        <v>0</v>
      </c>
    </row>
    <row r="107" spans="1:16" ht="26.45" x14ac:dyDescent="0.3">
      <c r="A107" s="81"/>
      <c r="B107" s="81"/>
      <c r="C107" s="17"/>
      <c r="D107" s="17" t="s">
        <v>336</v>
      </c>
      <c r="E107" s="1" t="s">
        <v>337</v>
      </c>
      <c r="F107" s="130">
        <f>1141.9-1141.9</f>
        <v>0</v>
      </c>
      <c r="G107" s="146"/>
      <c r="H107" s="130">
        <v>866.8</v>
      </c>
      <c r="I107" s="146">
        <v>-45.2</v>
      </c>
      <c r="J107" s="130">
        <f>SUM(H107:I107)</f>
        <v>821.59999999999991</v>
      </c>
      <c r="K107" s="130">
        <f>1193.9-1193.9</f>
        <v>0</v>
      </c>
      <c r="L107" s="130"/>
      <c r="M107" s="130">
        <f>1193.9-1193.9</f>
        <v>0</v>
      </c>
      <c r="N107" s="130">
        <f>1243.6-1243.6</f>
        <v>0</v>
      </c>
      <c r="O107" s="130"/>
      <c r="P107" s="130">
        <f>1243.6-1243.6</f>
        <v>0</v>
      </c>
    </row>
    <row r="108" spans="1:16" ht="25.5" x14ac:dyDescent="0.25">
      <c r="A108" s="81"/>
      <c r="B108" s="81"/>
      <c r="C108" s="7" t="s">
        <v>526</v>
      </c>
      <c r="D108" s="17"/>
      <c r="E108" s="1" t="s">
        <v>527</v>
      </c>
      <c r="F108" s="130"/>
      <c r="G108" s="146"/>
      <c r="H108" s="130"/>
      <c r="I108" s="146">
        <f>I109</f>
        <v>99.6</v>
      </c>
      <c r="J108" s="130">
        <f>J109</f>
        <v>99.6</v>
      </c>
      <c r="K108" s="130"/>
      <c r="L108" s="130"/>
      <c r="M108" s="130">
        <v>0</v>
      </c>
      <c r="N108" s="130"/>
      <c r="O108" s="130"/>
      <c r="P108" s="130">
        <v>0</v>
      </c>
    </row>
    <row r="109" spans="1:16" x14ac:dyDescent="0.25">
      <c r="A109" s="81"/>
      <c r="B109" s="81"/>
      <c r="C109" s="7"/>
      <c r="D109" s="17" t="s">
        <v>513</v>
      </c>
      <c r="E109" s="1" t="s">
        <v>514</v>
      </c>
      <c r="F109" s="130"/>
      <c r="G109" s="146"/>
      <c r="H109" s="130"/>
      <c r="I109" s="146">
        <v>99.6</v>
      </c>
      <c r="J109" s="130">
        <v>99.6</v>
      </c>
      <c r="K109" s="130"/>
      <c r="L109" s="130"/>
      <c r="M109" s="130">
        <v>0</v>
      </c>
      <c r="N109" s="130"/>
      <c r="O109" s="130"/>
      <c r="P109" s="130">
        <v>0</v>
      </c>
    </row>
    <row r="110" spans="1:16" ht="27" x14ac:dyDescent="0.3">
      <c r="A110" s="81"/>
      <c r="B110" s="81"/>
      <c r="C110" s="7" t="s">
        <v>536</v>
      </c>
      <c r="D110" s="7"/>
      <c r="E110" s="3" t="s">
        <v>537</v>
      </c>
      <c r="F110" s="130">
        <f>F111</f>
        <v>200</v>
      </c>
      <c r="G110" s="146"/>
      <c r="H110" s="130">
        <f>H111</f>
        <v>200</v>
      </c>
      <c r="I110" s="130"/>
      <c r="J110" s="130">
        <f>J111</f>
        <v>200</v>
      </c>
      <c r="K110" s="130">
        <f>K111</f>
        <v>200</v>
      </c>
      <c r="L110" s="130"/>
      <c r="M110" s="130">
        <f>M111</f>
        <v>200</v>
      </c>
      <c r="N110" s="130">
        <f>N111</f>
        <v>200</v>
      </c>
      <c r="O110" s="130"/>
      <c r="P110" s="130">
        <f>P111</f>
        <v>200</v>
      </c>
    </row>
    <row r="111" spans="1:16" ht="27" x14ac:dyDescent="0.3">
      <c r="A111" s="81"/>
      <c r="B111" s="81"/>
      <c r="C111" s="7"/>
      <c r="D111" s="7" t="s">
        <v>336</v>
      </c>
      <c r="E111" s="3" t="s">
        <v>337</v>
      </c>
      <c r="F111" s="130">
        <v>200</v>
      </c>
      <c r="G111" s="146"/>
      <c r="H111" s="130">
        <v>200</v>
      </c>
      <c r="I111" s="130"/>
      <c r="J111" s="130">
        <v>200</v>
      </c>
      <c r="K111" s="130">
        <v>200</v>
      </c>
      <c r="L111" s="130"/>
      <c r="M111" s="130">
        <v>200</v>
      </c>
      <c r="N111" s="130">
        <v>200</v>
      </c>
      <c r="O111" s="130"/>
      <c r="P111" s="130">
        <v>200</v>
      </c>
    </row>
    <row r="112" spans="1:16" ht="14.45" x14ac:dyDescent="0.3">
      <c r="A112" s="81"/>
      <c r="B112" s="81"/>
      <c r="C112" s="7" t="s">
        <v>538</v>
      </c>
      <c r="D112" s="7"/>
      <c r="E112" s="3" t="s">
        <v>539</v>
      </c>
      <c r="F112" s="130">
        <f>F113</f>
        <v>240</v>
      </c>
      <c r="G112" s="146">
        <f>G113</f>
        <v>25</v>
      </c>
      <c r="H112" s="130">
        <f>H113</f>
        <v>265</v>
      </c>
      <c r="I112" s="130"/>
      <c r="J112" s="130">
        <f>J113</f>
        <v>265</v>
      </c>
      <c r="K112" s="130">
        <f>K113</f>
        <v>0</v>
      </c>
      <c r="L112" s="130"/>
      <c r="M112" s="130">
        <f>M113</f>
        <v>0</v>
      </c>
      <c r="N112" s="130">
        <f>N113</f>
        <v>0</v>
      </c>
      <c r="O112" s="130"/>
      <c r="P112" s="130">
        <f>P113</f>
        <v>0</v>
      </c>
    </row>
    <row r="113" spans="1:16" ht="14.45" x14ac:dyDescent="0.3">
      <c r="A113" s="81"/>
      <c r="B113" s="81"/>
      <c r="C113" s="7"/>
      <c r="D113" s="7" t="s">
        <v>513</v>
      </c>
      <c r="E113" s="3" t="s">
        <v>514</v>
      </c>
      <c r="F113" s="130">
        <v>240</v>
      </c>
      <c r="G113" s="146">
        <v>25</v>
      </c>
      <c r="H113" s="130">
        <f>SUM(F113:G113)</f>
        <v>265</v>
      </c>
      <c r="I113" s="130"/>
      <c r="J113" s="130">
        <f>SUM(H113:I113)</f>
        <v>265</v>
      </c>
      <c r="K113" s="130">
        <v>0</v>
      </c>
      <c r="L113" s="130"/>
      <c r="M113" s="130">
        <v>0</v>
      </c>
      <c r="N113" s="130">
        <v>0</v>
      </c>
      <c r="O113" s="130"/>
      <c r="P113" s="130">
        <v>0</v>
      </c>
    </row>
    <row r="114" spans="1:16" ht="14.45" x14ac:dyDescent="0.3">
      <c r="A114" s="85"/>
      <c r="B114" s="18" t="s">
        <v>629</v>
      </c>
      <c r="C114" s="86"/>
      <c r="D114" s="18"/>
      <c r="E114" s="87" t="s">
        <v>630</v>
      </c>
      <c r="F114" s="157">
        <f t="shared" ref="F114:J119" si="27">F115</f>
        <v>1051.7</v>
      </c>
      <c r="G114" s="157"/>
      <c r="H114" s="157">
        <f t="shared" si="27"/>
        <v>1051.7</v>
      </c>
      <c r="I114" s="157"/>
      <c r="J114" s="157">
        <f t="shared" si="27"/>
        <v>1051.7</v>
      </c>
      <c r="K114" s="157">
        <f t="shared" ref="K114:P119" si="28">K115</f>
        <v>1095.8</v>
      </c>
      <c r="L114" s="157"/>
      <c r="M114" s="157">
        <f t="shared" si="28"/>
        <v>1095.8</v>
      </c>
      <c r="N114" s="157">
        <f t="shared" si="28"/>
        <v>1133.8999999999999</v>
      </c>
      <c r="O114" s="157">
        <f t="shared" si="28"/>
        <v>0</v>
      </c>
      <c r="P114" s="157">
        <f t="shared" si="28"/>
        <v>1133.8999999999999</v>
      </c>
    </row>
    <row r="115" spans="1:16" ht="14.45" x14ac:dyDescent="0.3">
      <c r="A115" s="85"/>
      <c r="B115" s="18" t="s">
        <v>631</v>
      </c>
      <c r="C115" s="86"/>
      <c r="D115" s="18"/>
      <c r="E115" s="87" t="s">
        <v>632</v>
      </c>
      <c r="F115" s="157">
        <f t="shared" si="27"/>
        <v>1051.7</v>
      </c>
      <c r="G115" s="157"/>
      <c r="H115" s="157">
        <f t="shared" si="27"/>
        <v>1051.7</v>
      </c>
      <c r="I115" s="157"/>
      <c r="J115" s="157">
        <f t="shared" si="27"/>
        <v>1051.7</v>
      </c>
      <c r="K115" s="157">
        <f t="shared" si="28"/>
        <v>1095.8</v>
      </c>
      <c r="L115" s="157"/>
      <c r="M115" s="157">
        <f t="shared" si="28"/>
        <v>1095.8</v>
      </c>
      <c r="N115" s="157">
        <f t="shared" si="28"/>
        <v>1133.8999999999999</v>
      </c>
      <c r="O115" s="157">
        <f t="shared" si="28"/>
        <v>0</v>
      </c>
      <c r="P115" s="157">
        <f t="shared" si="28"/>
        <v>1133.8999999999999</v>
      </c>
    </row>
    <row r="116" spans="1:16" ht="27" x14ac:dyDescent="0.3">
      <c r="A116" s="85"/>
      <c r="B116" s="18"/>
      <c r="C116" s="92" t="s">
        <v>6</v>
      </c>
      <c r="D116" s="92"/>
      <c r="E116" s="88" t="s">
        <v>7</v>
      </c>
      <c r="F116" s="157">
        <f t="shared" si="27"/>
        <v>1051.7</v>
      </c>
      <c r="G116" s="157"/>
      <c r="H116" s="157">
        <f t="shared" si="27"/>
        <v>1051.7</v>
      </c>
      <c r="I116" s="157"/>
      <c r="J116" s="157">
        <f t="shared" si="27"/>
        <v>1051.7</v>
      </c>
      <c r="K116" s="157">
        <f t="shared" si="28"/>
        <v>1095.8</v>
      </c>
      <c r="L116" s="157"/>
      <c r="M116" s="157">
        <f t="shared" si="28"/>
        <v>1095.8</v>
      </c>
      <c r="N116" s="157">
        <f t="shared" si="28"/>
        <v>1133.8999999999999</v>
      </c>
      <c r="O116" s="157">
        <f t="shared" si="28"/>
        <v>0</v>
      </c>
      <c r="P116" s="157">
        <f t="shared" si="28"/>
        <v>1133.8999999999999</v>
      </c>
    </row>
    <row r="117" spans="1:16" ht="39.6" x14ac:dyDescent="0.3">
      <c r="A117" s="93"/>
      <c r="B117" s="94"/>
      <c r="C117" s="95" t="s">
        <v>8</v>
      </c>
      <c r="D117" s="94"/>
      <c r="E117" s="96" t="s">
        <v>9</v>
      </c>
      <c r="F117" s="138">
        <f t="shared" si="27"/>
        <v>1051.7</v>
      </c>
      <c r="G117" s="138"/>
      <c r="H117" s="138">
        <f t="shared" si="27"/>
        <v>1051.7</v>
      </c>
      <c r="I117" s="138"/>
      <c r="J117" s="138">
        <f t="shared" si="27"/>
        <v>1051.7</v>
      </c>
      <c r="K117" s="138">
        <f t="shared" si="28"/>
        <v>1095.8</v>
      </c>
      <c r="L117" s="138"/>
      <c r="M117" s="138">
        <f t="shared" si="28"/>
        <v>1095.8</v>
      </c>
      <c r="N117" s="138">
        <f t="shared" si="28"/>
        <v>1133.8999999999999</v>
      </c>
      <c r="O117" s="138">
        <f t="shared" si="28"/>
        <v>0</v>
      </c>
      <c r="P117" s="138">
        <f t="shared" si="28"/>
        <v>1133.8999999999999</v>
      </c>
    </row>
    <row r="118" spans="1:16" ht="39.6" x14ac:dyDescent="0.3">
      <c r="A118" s="97"/>
      <c r="B118" s="98"/>
      <c r="C118" s="99" t="s">
        <v>35</v>
      </c>
      <c r="D118" s="98"/>
      <c r="E118" s="100" t="s">
        <v>633</v>
      </c>
      <c r="F118" s="158">
        <f t="shared" si="27"/>
        <v>1051.7</v>
      </c>
      <c r="G118" s="158"/>
      <c r="H118" s="158">
        <f t="shared" si="27"/>
        <v>1051.7</v>
      </c>
      <c r="I118" s="158"/>
      <c r="J118" s="158">
        <f t="shared" si="27"/>
        <v>1051.7</v>
      </c>
      <c r="K118" s="158">
        <f t="shared" si="28"/>
        <v>1095.8</v>
      </c>
      <c r="L118" s="158"/>
      <c r="M118" s="158">
        <f t="shared" si="28"/>
        <v>1095.8</v>
      </c>
      <c r="N118" s="158">
        <f t="shared" si="28"/>
        <v>1133.8999999999999</v>
      </c>
      <c r="O118" s="158">
        <f t="shared" si="28"/>
        <v>0</v>
      </c>
      <c r="P118" s="158">
        <f t="shared" si="28"/>
        <v>1133.8999999999999</v>
      </c>
    </row>
    <row r="119" spans="1:16" ht="26.45" x14ac:dyDescent="0.3">
      <c r="A119" s="101"/>
      <c r="B119" s="102"/>
      <c r="C119" s="103" t="s">
        <v>37</v>
      </c>
      <c r="D119" s="102"/>
      <c r="E119" s="104" t="s">
        <v>634</v>
      </c>
      <c r="F119" s="159">
        <f t="shared" si="27"/>
        <v>1051.7</v>
      </c>
      <c r="G119" s="159"/>
      <c r="H119" s="159">
        <f t="shared" si="27"/>
        <v>1051.7</v>
      </c>
      <c r="I119" s="159"/>
      <c r="J119" s="159">
        <f t="shared" si="27"/>
        <v>1051.7</v>
      </c>
      <c r="K119" s="159">
        <f t="shared" si="28"/>
        <v>1095.8</v>
      </c>
      <c r="L119" s="159"/>
      <c r="M119" s="159">
        <f t="shared" si="28"/>
        <v>1095.8</v>
      </c>
      <c r="N119" s="159">
        <f t="shared" si="28"/>
        <v>1133.8999999999999</v>
      </c>
      <c r="O119" s="159">
        <f t="shared" si="28"/>
        <v>0</v>
      </c>
      <c r="P119" s="159">
        <f t="shared" si="28"/>
        <v>1133.8999999999999</v>
      </c>
    </row>
    <row r="120" spans="1:16" ht="27" x14ac:dyDescent="0.3">
      <c r="A120" s="7"/>
      <c r="B120" s="7"/>
      <c r="C120" s="7" t="s">
        <v>54</v>
      </c>
      <c r="D120" s="7"/>
      <c r="E120" s="3" t="s">
        <v>747</v>
      </c>
      <c r="F120" s="145">
        <f>868.4+183.3</f>
        <v>1051.7</v>
      </c>
      <c r="G120" s="145"/>
      <c r="H120" s="145">
        <f>868.4+183.3</f>
        <v>1051.7</v>
      </c>
      <c r="I120" s="145"/>
      <c r="J120" s="145">
        <f>868.4+183.3</f>
        <v>1051.7</v>
      </c>
      <c r="K120" s="145">
        <f>897.5+198.3</f>
        <v>1095.8</v>
      </c>
      <c r="L120" s="145"/>
      <c r="M120" s="145">
        <f>897.5+198.3</f>
        <v>1095.8</v>
      </c>
      <c r="N120" s="145">
        <f>N121+N122</f>
        <v>1133.8999999999999</v>
      </c>
      <c r="O120" s="145">
        <f>O121</f>
        <v>0</v>
      </c>
      <c r="P120" s="145">
        <f>P121+P122</f>
        <v>1133.8999999999999</v>
      </c>
    </row>
    <row r="121" spans="1:16" ht="40.15" x14ac:dyDescent="0.3">
      <c r="A121" s="7"/>
      <c r="B121" s="7"/>
      <c r="C121" s="7"/>
      <c r="D121" s="7" t="s">
        <v>505</v>
      </c>
      <c r="E121" s="3" t="s">
        <v>506</v>
      </c>
      <c r="F121" s="145">
        <v>1043</v>
      </c>
      <c r="G121" s="145"/>
      <c r="H121" s="145">
        <v>1043</v>
      </c>
      <c r="I121" s="145"/>
      <c r="J121" s="145">
        <v>1043</v>
      </c>
      <c r="K121" s="145">
        <v>1043</v>
      </c>
      <c r="L121" s="145"/>
      <c r="M121" s="145">
        <v>1043</v>
      </c>
      <c r="N121" s="145">
        <v>1043.0999999999999</v>
      </c>
      <c r="O121" s="145"/>
      <c r="P121" s="145">
        <f>1043+0.1</f>
        <v>1043.0999999999999</v>
      </c>
    </row>
    <row r="122" spans="1:16" ht="27" x14ac:dyDescent="0.3">
      <c r="A122" s="7"/>
      <c r="B122" s="7"/>
      <c r="C122" s="7"/>
      <c r="D122" s="7" t="s">
        <v>336</v>
      </c>
      <c r="E122" s="3" t="s">
        <v>337</v>
      </c>
      <c r="F122" s="145">
        <v>8.6999999999999993</v>
      </c>
      <c r="G122" s="145"/>
      <c r="H122" s="145">
        <v>8.6999999999999993</v>
      </c>
      <c r="I122" s="145"/>
      <c r="J122" s="145">
        <v>8.6999999999999993</v>
      </c>
      <c r="K122" s="145">
        <v>52.8</v>
      </c>
      <c r="L122" s="145"/>
      <c r="M122" s="145">
        <v>52.8</v>
      </c>
      <c r="N122" s="145">
        <v>90.8</v>
      </c>
      <c r="O122" s="145"/>
      <c r="P122" s="145">
        <v>90.8</v>
      </c>
    </row>
    <row r="123" spans="1:16" ht="14.45" x14ac:dyDescent="0.3">
      <c r="A123" s="85"/>
      <c r="B123" s="18" t="s">
        <v>635</v>
      </c>
      <c r="C123" s="86"/>
      <c r="D123" s="85"/>
      <c r="E123" s="87" t="s">
        <v>636</v>
      </c>
      <c r="F123" s="157">
        <f>F124+F135+F147</f>
        <v>21563.1</v>
      </c>
      <c r="G123" s="157"/>
      <c r="H123" s="157">
        <f t="shared" ref="H123:P123" si="29">H124+H135+H147</f>
        <v>22106.6</v>
      </c>
      <c r="I123" s="157">
        <f t="shared" si="29"/>
        <v>0</v>
      </c>
      <c r="J123" s="157">
        <f t="shared" si="29"/>
        <v>22106.6</v>
      </c>
      <c r="K123" s="157">
        <f t="shared" si="29"/>
        <v>22278.1</v>
      </c>
      <c r="L123" s="157">
        <f t="shared" si="29"/>
        <v>0</v>
      </c>
      <c r="M123" s="157">
        <f t="shared" si="29"/>
        <v>22278.1</v>
      </c>
      <c r="N123" s="157">
        <f t="shared" si="29"/>
        <v>22376.899999999998</v>
      </c>
      <c r="O123" s="157">
        <f t="shared" si="29"/>
        <v>0</v>
      </c>
      <c r="P123" s="157">
        <f t="shared" si="29"/>
        <v>22376.899999999998</v>
      </c>
    </row>
    <row r="124" spans="1:16" ht="39.6" x14ac:dyDescent="0.3">
      <c r="A124" s="85"/>
      <c r="B124" s="18" t="s">
        <v>637</v>
      </c>
      <c r="C124" s="86"/>
      <c r="D124" s="18"/>
      <c r="E124" s="90" t="s">
        <v>638</v>
      </c>
      <c r="F124" s="157">
        <f>F125</f>
        <v>16118.199999999999</v>
      </c>
      <c r="G124" s="157"/>
      <c r="H124" s="157">
        <f t="shared" ref="H124:J126" si="30">H125</f>
        <v>16611.7</v>
      </c>
      <c r="I124" s="157">
        <f t="shared" si="30"/>
        <v>0</v>
      </c>
      <c r="J124" s="157">
        <f t="shared" si="30"/>
        <v>16611.7</v>
      </c>
      <c r="K124" s="157">
        <f t="shared" ref="K124:P126" si="31">K125</f>
        <v>17369.7</v>
      </c>
      <c r="L124" s="157">
        <f t="shared" si="31"/>
        <v>0</v>
      </c>
      <c r="M124" s="157">
        <f t="shared" si="31"/>
        <v>17369.7</v>
      </c>
      <c r="N124" s="157">
        <f t="shared" si="31"/>
        <v>17381.8</v>
      </c>
      <c r="O124" s="157">
        <f t="shared" si="31"/>
        <v>0</v>
      </c>
      <c r="P124" s="157">
        <f t="shared" si="31"/>
        <v>17381.8</v>
      </c>
    </row>
    <row r="125" spans="1:16" ht="26.45" x14ac:dyDescent="0.3">
      <c r="A125" s="85"/>
      <c r="B125" s="18"/>
      <c r="C125" s="86" t="s">
        <v>6</v>
      </c>
      <c r="D125" s="85"/>
      <c r="E125" s="90" t="s">
        <v>7</v>
      </c>
      <c r="F125" s="157">
        <f>F126</f>
        <v>16118.199999999999</v>
      </c>
      <c r="G125" s="157"/>
      <c r="H125" s="157">
        <f t="shared" si="30"/>
        <v>16611.7</v>
      </c>
      <c r="I125" s="157">
        <f t="shared" si="30"/>
        <v>0</v>
      </c>
      <c r="J125" s="157">
        <f t="shared" si="30"/>
        <v>16611.7</v>
      </c>
      <c r="K125" s="157">
        <f t="shared" si="31"/>
        <v>17369.7</v>
      </c>
      <c r="L125" s="157">
        <f t="shared" si="31"/>
        <v>0</v>
      </c>
      <c r="M125" s="157">
        <f t="shared" si="31"/>
        <v>17369.7</v>
      </c>
      <c r="N125" s="157">
        <f t="shared" si="31"/>
        <v>17381.8</v>
      </c>
      <c r="O125" s="157">
        <f t="shared" si="31"/>
        <v>0</v>
      </c>
      <c r="P125" s="157">
        <f t="shared" si="31"/>
        <v>17381.8</v>
      </c>
    </row>
    <row r="126" spans="1:16" ht="52.9" x14ac:dyDescent="0.3">
      <c r="A126" s="93"/>
      <c r="B126" s="94"/>
      <c r="C126" s="95" t="s">
        <v>447</v>
      </c>
      <c r="D126" s="94"/>
      <c r="E126" s="96" t="s">
        <v>639</v>
      </c>
      <c r="F126" s="138">
        <f>F127</f>
        <v>16118.199999999999</v>
      </c>
      <c r="G126" s="138"/>
      <c r="H126" s="138">
        <f t="shared" si="30"/>
        <v>16611.7</v>
      </c>
      <c r="I126" s="138">
        <f t="shared" si="30"/>
        <v>0</v>
      </c>
      <c r="J126" s="138">
        <f t="shared" si="30"/>
        <v>16611.7</v>
      </c>
      <c r="K126" s="138">
        <f t="shared" si="31"/>
        <v>17369.7</v>
      </c>
      <c r="L126" s="138">
        <f t="shared" si="31"/>
        <v>0</v>
      </c>
      <c r="M126" s="138">
        <f t="shared" si="31"/>
        <v>17369.7</v>
      </c>
      <c r="N126" s="138">
        <f t="shared" si="31"/>
        <v>17381.8</v>
      </c>
      <c r="O126" s="138">
        <f t="shared" si="31"/>
        <v>0</v>
      </c>
      <c r="P126" s="138">
        <f t="shared" si="31"/>
        <v>17381.8</v>
      </c>
    </row>
    <row r="127" spans="1:16" ht="40.15" x14ac:dyDescent="0.3">
      <c r="A127" s="36"/>
      <c r="B127" s="36"/>
      <c r="C127" s="36" t="s">
        <v>449</v>
      </c>
      <c r="D127" s="36"/>
      <c r="E127" s="22" t="s">
        <v>450</v>
      </c>
      <c r="F127" s="131">
        <f>F128+F130+F132</f>
        <v>16118.199999999999</v>
      </c>
      <c r="G127" s="131"/>
      <c r="H127" s="131">
        <f t="shared" ref="H127:P127" si="32">H128+H130+H132</f>
        <v>16611.7</v>
      </c>
      <c r="I127" s="131">
        <f t="shared" si="32"/>
        <v>0</v>
      </c>
      <c r="J127" s="131">
        <f t="shared" si="32"/>
        <v>16611.7</v>
      </c>
      <c r="K127" s="131">
        <f>K128+K130+K132</f>
        <v>17369.7</v>
      </c>
      <c r="L127" s="131">
        <f t="shared" si="32"/>
        <v>0</v>
      </c>
      <c r="M127" s="131">
        <f t="shared" si="32"/>
        <v>17369.7</v>
      </c>
      <c r="N127" s="131">
        <f t="shared" si="32"/>
        <v>17381.8</v>
      </c>
      <c r="O127" s="131">
        <f t="shared" si="32"/>
        <v>0</v>
      </c>
      <c r="P127" s="131">
        <f t="shared" si="32"/>
        <v>17381.8</v>
      </c>
    </row>
    <row r="128" spans="1:16" ht="14.45" x14ac:dyDescent="0.3">
      <c r="A128" s="7"/>
      <c r="B128" s="7"/>
      <c r="C128" s="7" t="s">
        <v>451</v>
      </c>
      <c r="D128" s="7"/>
      <c r="E128" s="1" t="s">
        <v>452</v>
      </c>
      <c r="F128" s="130">
        <v>23.9</v>
      </c>
      <c r="G128" s="130"/>
      <c r="H128" s="130">
        <v>23.9</v>
      </c>
      <c r="I128" s="130"/>
      <c r="J128" s="130">
        <v>23.9</v>
      </c>
      <c r="K128" s="130">
        <v>24.8</v>
      </c>
      <c r="L128" s="130"/>
      <c r="M128" s="130">
        <v>24.8</v>
      </c>
      <c r="N128" s="130">
        <v>25.8</v>
      </c>
      <c r="O128" s="130"/>
      <c r="P128" s="130">
        <v>25.8</v>
      </c>
    </row>
    <row r="129" spans="1:16" ht="27" x14ac:dyDescent="0.3">
      <c r="A129" s="7"/>
      <c r="B129" s="7"/>
      <c r="C129" s="7"/>
      <c r="D129" s="7" t="s">
        <v>336</v>
      </c>
      <c r="E129" s="3" t="s">
        <v>337</v>
      </c>
      <c r="F129" s="130">
        <v>23.9</v>
      </c>
      <c r="G129" s="130"/>
      <c r="H129" s="130">
        <v>23.9</v>
      </c>
      <c r="I129" s="130"/>
      <c r="J129" s="130">
        <v>23.9</v>
      </c>
      <c r="K129" s="130">
        <v>24.8</v>
      </c>
      <c r="L129" s="130"/>
      <c r="M129" s="130">
        <v>24.8</v>
      </c>
      <c r="N129" s="130">
        <v>25.8</v>
      </c>
      <c r="O129" s="130"/>
      <c r="P129" s="130">
        <v>25.8</v>
      </c>
    </row>
    <row r="130" spans="1:16" ht="40.15" x14ac:dyDescent="0.3">
      <c r="A130" s="7"/>
      <c r="B130" s="7"/>
      <c r="C130" s="7" t="s">
        <v>453</v>
      </c>
      <c r="D130" s="7"/>
      <c r="E130" s="9" t="s">
        <v>454</v>
      </c>
      <c r="F130" s="130">
        <v>118.1</v>
      </c>
      <c r="G130" s="130"/>
      <c r="H130" s="130">
        <v>118.1</v>
      </c>
      <c r="I130" s="130"/>
      <c r="J130" s="130">
        <v>118.1</v>
      </c>
      <c r="K130" s="130">
        <v>122.8</v>
      </c>
      <c r="L130" s="130"/>
      <c r="M130" s="130">
        <v>122.8</v>
      </c>
      <c r="N130" s="130">
        <v>127.7</v>
      </c>
      <c r="O130" s="130"/>
      <c r="P130" s="130">
        <v>127.7</v>
      </c>
    </row>
    <row r="131" spans="1:16" ht="27" x14ac:dyDescent="0.3">
      <c r="A131" s="7"/>
      <c r="B131" s="7"/>
      <c r="C131" s="7"/>
      <c r="D131" s="7" t="s">
        <v>336</v>
      </c>
      <c r="E131" s="3" t="s">
        <v>337</v>
      </c>
      <c r="F131" s="130">
        <v>118.1</v>
      </c>
      <c r="G131" s="130"/>
      <c r="H131" s="130">
        <v>118.1</v>
      </c>
      <c r="I131" s="130"/>
      <c r="J131" s="130">
        <v>118.1</v>
      </c>
      <c r="K131" s="130">
        <v>122.8</v>
      </c>
      <c r="L131" s="130"/>
      <c r="M131" s="130">
        <v>122.8</v>
      </c>
      <c r="N131" s="130">
        <v>127.7</v>
      </c>
      <c r="O131" s="130"/>
      <c r="P131" s="130">
        <v>127.7</v>
      </c>
    </row>
    <row r="132" spans="1:16" ht="14.45" x14ac:dyDescent="0.3">
      <c r="A132" s="7"/>
      <c r="B132" s="7"/>
      <c r="C132" s="7" t="s">
        <v>455</v>
      </c>
      <c r="D132" s="7"/>
      <c r="E132" s="68" t="s">
        <v>757</v>
      </c>
      <c r="F132" s="130">
        <f>F133+F134</f>
        <v>15976.199999999999</v>
      </c>
      <c r="G132" s="130"/>
      <c r="H132" s="130">
        <f>H133+H134</f>
        <v>16469.7</v>
      </c>
      <c r="I132" s="130">
        <f>I133+I134</f>
        <v>0</v>
      </c>
      <c r="J132" s="130">
        <f>J133+J134</f>
        <v>16469.7</v>
      </c>
      <c r="K132" s="130">
        <f>K133+K134</f>
        <v>17222.100000000002</v>
      </c>
      <c r="L132" s="130">
        <f>L133</f>
        <v>0</v>
      </c>
      <c r="M132" s="130">
        <f>M133+M134</f>
        <v>17222.100000000002</v>
      </c>
      <c r="N132" s="130">
        <f>N133+N134</f>
        <v>17228.3</v>
      </c>
      <c r="O132" s="130">
        <f>O133</f>
        <v>0</v>
      </c>
      <c r="P132" s="130">
        <f>P133+P134</f>
        <v>17228.3</v>
      </c>
    </row>
    <row r="133" spans="1:16" ht="40.15" x14ac:dyDescent="0.3">
      <c r="A133" s="7"/>
      <c r="B133" s="7"/>
      <c r="C133" s="7"/>
      <c r="D133" s="7" t="s">
        <v>505</v>
      </c>
      <c r="E133" s="3" t="s">
        <v>506</v>
      </c>
      <c r="F133" s="145">
        <v>14606.199999999999</v>
      </c>
      <c r="G133" s="145"/>
      <c r="H133" s="145">
        <v>15043.2</v>
      </c>
      <c r="I133" s="145"/>
      <c r="J133" s="145">
        <f>SUM(H133:I133)</f>
        <v>15043.2</v>
      </c>
      <c r="K133" s="145">
        <v>15846.2</v>
      </c>
      <c r="L133" s="145"/>
      <c r="M133" s="145">
        <f>SUM(K133:L133)</f>
        <v>15846.2</v>
      </c>
      <c r="N133" s="145">
        <v>15846.2</v>
      </c>
      <c r="O133" s="145"/>
      <c r="P133" s="145">
        <f>SUM(N133:O133)</f>
        <v>15846.2</v>
      </c>
    </row>
    <row r="134" spans="1:16" ht="27" x14ac:dyDescent="0.3">
      <c r="A134" s="7"/>
      <c r="B134" s="7"/>
      <c r="C134" s="7"/>
      <c r="D134" s="7" t="s">
        <v>336</v>
      </c>
      <c r="E134" s="3" t="s">
        <v>337</v>
      </c>
      <c r="F134" s="130">
        <v>1370</v>
      </c>
      <c r="G134" s="130"/>
      <c r="H134" s="130">
        <v>1426.5</v>
      </c>
      <c r="I134" s="130"/>
      <c r="J134" s="130">
        <f>SUM(H134:I134)</f>
        <v>1426.5</v>
      </c>
      <c r="K134" s="130">
        <v>1375.9</v>
      </c>
      <c r="L134" s="130"/>
      <c r="M134" s="130">
        <v>1375.9</v>
      </c>
      <c r="N134" s="130">
        <v>1382.1</v>
      </c>
      <c r="O134" s="130"/>
      <c r="P134" s="130">
        <v>1382.1</v>
      </c>
    </row>
    <row r="135" spans="1:16" ht="14.45" x14ac:dyDescent="0.3">
      <c r="A135" s="7"/>
      <c r="B135" s="18" t="s">
        <v>640</v>
      </c>
      <c r="C135" s="86"/>
      <c r="D135" s="18"/>
      <c r="E135" s="87" t="s">
        <v>641</v>
      </c>
      <c r="F135" s="137">
        <f>F136</f>
        <v>4414.3999999999996</v>
      </c>
      <c r="G135" s="137"/>
      <c r="H135" s="137">
        <f>H136</f>
        <v>4414.3999999999996</v>
      </c>
      <c r="I135" s="137"/>
      <c r="J135" s="137">
        <f>J136</f>
        <v>4414.3999999999996</v>
      </c>
      <c r="K135" s="137">
        <f t="shared" ref="K135:P137" si="33">K136</f>
        <v>3980.8</v>
      </c>
      <c r="L135" s="137"/>
      <c r="M135" s="137">
        <f t="shared" si="33"/>
        <v>3980.8</v>
      </c>
      <c r="N135" s="137">
        <f t="shared" si="33"/>
        <v>4041.8999999999996</v>
      </c>
      <c r="O135" s="137"/>
      <c r="P135" s="137">
        <f t="shared" si="33"/>
        <v>4041.8999999999996</v>
      </c>
    </row>
    <row r="136" spans="1:16" ht="14.45" x14ac:dyDescent="0.3">
      <c r="A136" s="7"/>
      <c r="B136" s="17"/>
      <c r="C136" s="86" t="s">
        <v>6</v>
      </c>
      <c r="D136" s="85"/>
      <c r="E136" s="90" t="s">
        <v>642</v>
      </c>
      <c r="F136" s="137">
        <f>F137</f>
        <v>4414.3999999999996</v>
      </c>
      <c r="G136" s="137"/>
      <c r="H136" s="137">
        <f>H137</f>
        <v>4414.3999999999996</v>
      </c>
      <c r="I136" s="137"/>
      <c r="J136" s="137">
        <f>J137</f>
        <v>4414.3999999999996</v>
      </c>
      <c r="K136" s="137">
        <f t="shared" si="33"/>
        <v>3980.8</v>
      </c>
      <c r="L136" s="137"/>
      <c r="M136" s="137">
        <f t="shared" si="33"/>
        <v>3980.8</v>
      </c>
      <c r="N136" s="137">
        <f t="shared" si="33"/>
        <v>4041.8999999999996</v>
      </c>
      <c r="O136" s="137"/>
      <c r="P136" s="137">
        <f t="shared" si="33"/>
        <v>4041.8999999999996</v>
      </c>
    </row>
    <row r="137" spans="1:16" ht="52.9" x14ac:dyDescent="0.3">
      <c r="A137" s="94"/>
      <c r="B137" s="94"/>
      <c r="C137" s="95" t="s">
        <v>447</v>
      </c>
      <c r="D137" s="94"/>
      <c r="E137" s="96" t="s">
        <v>448</v>
      </c>
      <c r="F137" s="138">
        <f>F138</f>
        <v>4414.3999999999996</v>
      </c>
      <c r="G137" s="138"/>
      <c r="H137" s="138">
        <f>H138</f>
        <v>4414.3999999999996</v>
      </c>
      <c r="I137" s="138"/>
      <c r="J137" s="138">
        <f>J138</f>
        <v>4414.3999999999996</v>
      </c>
      <c r="K137" s="138">
        <f t="shared" si="33"/>
        <v>3980.8</v>
      </c>
      <c r="L137" s="138"/>
      <c r="M137" s="138">
        <f t="shared" si="33"/>
        <v>3980.8</v>
      </c>
      <c r="N137" s="138">
        <f t="shared" si="33"/>
        <v>4041.8999999999996</v>
      </c>
      <c r="O137" s="138"/>
      <c r="P137" s="138">
        <f t="shared" si="33"/>
        <v>4041.8999999999996</v>
      </c>
    </row>
    <row r="138" spans="1:16" ht="27" x14ac:dyDescent="0.3">
      <c r="A138" s="36"/>
      <c r="B138" s="36"/>
      <c r="C138" s="36" t="s">
        <v>456</v>
      </c>
      <c r="D138" s="36"/>
      <c r="E138" s="22" t="s">
        <v>457</v>
      </c>
      <c r="F138" s="131">
        <f>F139+F141+F145+F143</f>
        <v>4414.3999999999996</v>
      </c>
      <c r="G138" s="131"/>
      <c r="H138" s="131">
        <f>H139+H141+H145+H143</f>
        <v>4414.3999999999996</v>
      </c>
      <c r="I138" s="131"/>
      <c r="J138" s="131">
        <f>J139+J141+J145+J143</f>
        <v>4414.3999999999996</v>
      </c>
      <c r="K138" s="131">
        <f>K139+K141+K145+K143</f>
        <v>3980.8</v>
      </c>
      <c r="L138" s="131"/>
      <c r="M138" s="131">
        <f>M139+M141+M145+M143</f>
        <v>3980.8</v>
      </c>
      <c r="N138" s="131">
        <f>N139+N141+N145+N143</f>
        <v>4041.8999999999996</v>
      </c>
      <c r="O138" s="131"/>
      <c r="P138" s="131">
        <f>P139+P141+P145+P143</f>
        <v>4041.8999999999996</v>
      </c>
    </row>
    <row r="139" spans="1:16" ht="27" x14ac:dyDescent="0.3">
      <c r="A139" s="7"/>
      <c r="B139" s="7"/>
      <c r="C139" s="7" t="s">
        <v>458</v>
      </c>
      <c r="D139" s="7"/>
      <c r="E139" s="62" t="s">
        <v>459</v>
      </c>
      <c r="F139" s="130">
        <f>F140</f>
        <v>732.6</v>
      </c>
      <c r="G139" s="130"/>
      <c r="H139" s="130">
        <f>H140</f>
        <v>732.6</v>
      </c>
      <c r="I139" s="130"/>
      <c r="J139" s="130">
        <f>J140</f>
        <v>732.6</v>
      </c>
      <c r="K139" s="130">
        <f>K140</f>
        <v>1410.6000000000001</v>
      </c>
      <c r="L139" s="130"/>
      <c r="M139" s="130">
        <f>M140</f>
        <v>1410.6000000000001</v>
      </c>
      <c r="N139" s="130">
        <f>N140</f>
        <v>1419</v>
      </c>
      <c r="O139" s="130"/>
      <c r="P139" s="130">
        <f>P140</f>
        <v>1419</v>
      </c>
    </row>
    <row r="140" spans="1:16" ht="27" x14ac:dyDescent="0.3">
      <c r="A140" s="7"/>
      <c r="B140" s="7"/>
      <c r="C140" s="7"/>
      <c r="D140" s="7" t="s">
        <v>336</v>
      </c>
      <c r="E140" s="3" t="s">
        <v>337</v>
      </c>
      <c r="F140" s="130">
        <v>732.6</v>
      </c>
      <c r="G140" s="130"/>
      <c r="H140" s="130">
        <v>732.6</v>
      </c>
      <c r="I140" s="130"/>
      <c r="J140" s="130">
        <v>732.6</v>
      </c>
      <c r="K140" s="130">
        <v>1410.6000000000001</v>
      </c>
      <c r="L140" s="130"/>
      <c r="M140" s="130">
        <v>1410.6000000000001</v>
      </c>
      <c r="N140" s="130">
        <v>1419</v>
      </c>
      <c r="O140" s="130"/>
      <c r="P140" s="130">
        <v>1419</v>
      </c>
    </row>
    <row r="141" spans="1:16" ht="27" x14ac:dyDescent="0.3">
      <c r="A141" s="7"/>
      <c r="B141" s="7"/>
      <c r="C141" s="7" t="s">
        <v>460</v>
      </c>
      <c r="D141" s="7"/>
      <c r="E141" s="9" t="s">
        <v>461</v>
      </c>
      <c r="F141" s="130">
        <v>1438.4</v>
      </c>
      <c r="G141" s="130"/>
      <c r="H141" s="130">
        <v>1438.4</v>
      </c>
      <c r="I141" s="130"/>
      <c r="J141" s="130">
        <v>1438.4</v>
      </c>
      <c r="K141" s="130">
        <v>1355.9</v>
      </c>
      <c r="L141" s="130"/>
      <c r="M141" s="130">
        <v>1355.9</v>
      </c>
      <c r="N141" s="130">
        <v>1360.1</v>
      </c>
      <c r="O141" s="130"/>
      <c r="P141" s="130">
        <v>1360.1</v>
      </c>
    </row>
    <row r="142" spans="1:16" ht="27" x14ac:dyDescent="0.3">
      <c r="A142" s="7"/>
      <c r="B142" s="7"/>
      <c r="C142" s="7"/>
      <c r="D142" s="7" t="s">
        <v>336</v>
      </c>
      <c r="E142" s="3" t="s">
        <v>337</v>
      </c>
      <c r="F142" s="130">
        <v>1438.4</v>
      </c>
      <c r="G142" s="130"/>
      <c r="H142" s="130">
        <v>1438.4</v>
      </c>
      <c r="I142" s="130"/>
      <c r="J142" s="130">
        <v>1438.4</v>
      </c>
      <c r="K142" s="130">
        <v>1355.9</v>
      </c>
      <c r="L142" s="130"/>
      <c r="M142" s="130">
        <v>1355.9</v>
      </c>
      <c r="N142" s="130">
        <v>1360.1</v>
      </c>
      <c r="O142" s="130"/>
      <c r="P142" s="130">
        <v>1360.1</v>
      </c>
    </row>
    <row r="143" spans="1:16" ht="27" x14ac:dyDescent="0.3">
      <c r="A143" s="7"/>
      <c r="B143" s="7"/>
      <c r="C143" s="7" t="s">
        <v>464</v>
      </c>
      <c r="D143" s="7"/>
      <c r="E143" s="3" t="s">
        <v>465</v>
      </c>
      <c r="F143" s="130">
        <v>1613.7</v>
      </c>
      <c r="G143" s="130"/>
      <c r="H143" s="130">
        <v>1613.7</v>
      </c>
      <c r="I143" s="130"/>
      <c r="J143" s="130">
        <v>1613.7</v>
      </c>
      <c r="K143" s="130">
        <v>559.4</v>
      </c>
      <c r="L143" s="130"/>
      <c r="M143" s="130">
        <v>559.4</v>
      </c>
      <c r="N143" s="130">
        <v>581.79999999999995</v>
      </c>
      <c r="O143" s="130"/>
      <c r="P143" s="130">
        <v>581.79999999999995</v>
      </c>
    </row>
    <row r="144" spans="1:16" ht="27" x14ac:dyDescent="0.3">
      <c r="A144" s="7"/>
      <c r="B144" s="7"/>
      <c r="C144" s="7"/>
      <c r="D144" s="7" t="s">
        <v>336</v>
      </c>
      <c r="E144" s="3" t="s">
        <v>337</v>
      </c>
      <c r="F144" s="130">
        <v>1613.7</v>
      </c>
      <c r="G144" s="130"/>
      <c r="H144" s="130">
        <v>1613.7</v>
      </c>
      <c r="I144" s="130"/>
      <c r="J144" s="130">
        <v>1613.7</v>
      </c>
      <c r="K144" s="130">
        <v>559.4</v>
      </c>
      <c r="L144" s="130"/>
      <c r="M144" s="130">
        <v>559.4</v>
      </c>
      <c r="N144" s="130">
        <v>581.79999999999995</v>
      </c>
      <c r="O144" s="130"/>
      <c r="P144" s="130">
        <v>581.79999999999995</v>
      </c>
    </row>
    <row r="145" spans="1:16" ht="27" x14ac:dyDescent="0.3">
      <c r="A145" s="7"/>
      <c r="B145" s="7"/>
      <c r="C145" s="7" t="s">
        <v>466</v>
      </c>
      <c r="D145" s="7"/>
      <c r="E145" s="79" t="s">
        <v>605</v>
      </c>
      <c r="F145" s="130">
        <v>629.70000000000005</v>
      </c>
      <c r="G145" s="130"/>
      <c r="H145" s="130">
        <v>629.70000000000005</v>
      </c>
      <c r="I145" s="130"/>
      <c r="J145" s="130">
        <v>629.70000000000005</v>
      </c>
      <c r="K145" s="130">
        <v>654.9</v>
      </c>
      <c r="L145" s="130"/>
      <c r="M145" s="130">
        <v>654.9</v>
      </c>
      <c r="N145" s="130">
        <v>681</v>
      </c>
      <c r="O145" s="130"/>
      <c r="P145" s="130">
        <v>681</v>
      </c>
    </row>
    <row r="146" spans="1:16" ht="27" x14ac:dyDescent="0.3">
      <c r="A146" s="7"/>
      <c r="B146" s="7"/>
      <c r="C146" s="7"/>
      <c r="D146" s="7" t="s">
        <v>336</v>
      </c>
      <c r="E146" s="3" t="s">
        <v>337</v>
      </c>
      <c r="F146" s="130">
        <v>629.70000000000005</v>
      </c>
      <c r="G146" s="130"/>
      <c r="H146" s="130">
        <v>629.70000000000005</v>
      </c>
      <c r="I146" s="130"/>
      <c r="J146" s="130">
        <v>629.70000000000005</v>
      </c>
      <c r="K146" s="130">
        <v>654.9</v>
      </c>
      <c r="L146" s="130"/>
      <c r="M146" s="130">
        <v>654.9</v>
      </c>
      <c r="N146" s="130">
        <v>681</v>
      </c>
      <c r="O146" s="130"/>
      <c r="P146" s="130">
        <v>681</v>
      </c>
    </row>
    <row r="147" spans="1:16" ht="26.45" x14ac:dyDescent="0.3">
      <c r="A147" s="7"/>
      <c r="B147" s="18" t="s">
        <v>643</v>
      </c>
      <c r="C147" s="86"/>
      <c r="D147" s="18"/>
      <c r="E147" s="90" t="s">
        <v>644</v>
      </c>
      <c r="F147" s="137">
        <f>F148</f>
        <v>1030.5</v>
      </c>
      <c r="G147" s="137"/>
      <c r="H147" s="137">
        <f>H148</f>
        <v>1080.5</v>
      </c>
      <c r="I147" s="137">
        <f>I148</f>
        <v>0</v>
      </c>
      <c r="J147" s="137">
        <f>J148</f>
        <v>1080.5</v>
      </c>
      <c r="K147" s="137">
        <f>K148</f>
        <v>927.59999999999991</v>
      </c>
      <c r="L147" s="137"/>
      <c r="M147" s="137">
        <f>M148</f>
        <v>927.59999999999991</v>
      </c>
      <c r="N147" s="137">
        <f>N148</f>
        <v>953.2</v>
      </c>
      <c r="O147" s="137"/>
      <c r="P147" s="137">
        <f>P148</f>
        <v>953.2</v>
      </c>
    </row>
    <row r="148" spans="1:16" ht="26.45" x14ac:dyDescent="0.3">
      <c r="A148" s="7"/>
      <c r="B148" s="18"/>
      <c r="C148" s="86" t="s">
        <v>6</v>
      </c>
      <c r="D148" s="85"/>
      <c r="E148" s="90" t="s">
        <v>7</v>
      </c>
      <c r="F148" s="137">
        <f>F149+F167</f>
        <v>1030.5</v>
      </c>
      <c r="G148" s="137"/>
      <c r="H148" s="137">
        <f>H149+H167</f>
        <v>1080.5</v>
      </c>
      <c r="I148" s="137">
        <f>I149+I167</f>
        <v>0</v>
      </c>
      <c r="J148" s="137">
        <f>J149+J167</f>
        <v>1080.5</v>
      </c>
      <c r="K148" s="137">
        <f>K149+K167</f>
        <v>927.59999999999991</v>
      </c>
      <c r="L148" s="137"/>
      <c r="M148" s="137">
        <f>M149+M167</f>
        <v>927.59999999999991</v>
      </c>
      <c r="N148" s="137">
        <f>N149+N167</f>
        <v>953.2</v>
      </c>
      <c r="O148" s="137"/>
      <c r="P148" s="137">
        <f>P149+P167</f>
        <v>953.2</v>
      </c>
    </row>
    <row r="149" spans="1:16" ht="37.5" customHeight="1" x14ac:dyDescent="0.3">
      <c r="A149" s="94"/>
      <c r="B149" s="94"/>
      <c r="C149" s="95" t="s">
        <v>318</v>
      </c>
      <c r="D149" s="94"/>
      <c r="E149" s="96" t="s">
        <v>319</v>
      </c>
      <c r="F149" s="138">
        <f>F150+F156</f>
        <v>903.2</v>
      </c>
      <c r="G149" s="138"/>
      <c r="H149" s="138">
        <f>H150+H156</f>
        <v>953.2</v>
      </c>
      <c r="I149" s="138">
        <f>I150+I156</f>
        <v>0</v>
      </c>
      <c r="J149" s="138">
        <f>J150+J156</f>
        <v>953.2</v>
      </c>
      <c r="K149" s="138">
        <f>K150+K156</f>
        <v>927.59999999999991</v>
      </c>
      <c r="L149" s="138"/>
      <c r="M149" s="138">
        <f>M150+M156</f>
        <v>927.59999999999991</v>
      </c>
      <c r="N149" s="138">
        <f>N150+N156</f>
        <v>953.2</v>
      </c>
      <c r="O149" s="138"/>
      <c r="P149" s="138">
        <f>P150+P156</f>
        <v>953.2</v>
      </c>
    </row>
    <row r="150" spans="1:16" ht="40.15" x14ac:dyDescent="0.3">
      <c r="A150" s="34"/>
      <c r="B150" s="34"/>
      <c r="C150" s="34" t="s">
        <v>320</v>
      </c>
      <c r="D150" s="34"/>
      <c r="E150" s="35" t="s">
        <v>321</v>
      </c>
      <c r="F150" s="139">
        <f>F151</f>
        <v>562</v>
      </c>
      <c r="G150" s="139"/>
      <c r="H150" s="139">
        <f>H151</f>
        <v>562</v>
      </c>
      <c r="I150" s="139"/>
      <c r="J150" s="139">
        <f>J151</f>
        <v>562</v>
      </c>
      <c r="K150" s="139">
        <f>K151</f>
        <v>584.5</v>
      </c>
      <c r="L150" s="139"/>
      <c r="M150" s="139">
        <f>M151</f>
        <v>584.5</v>
      </c>
      <c r="N150" s="139">
        <f>N151</f>
        <v>607.9</v>
      </c>
      <c r="O150" s="139"/>
      <c r="P150" s="139">
        <f>P151</f>
        <v>607.9</v>
      </c>
    </row>
    <row r="151" spans="1:16" ht="40.15" x14ac:dyDescent="0.3">
      <c r="A151" s="36"/>
      <c r="B151" s="36"/>
      <c r="C151" s="36" t="s">
        <v>322</v>
      </c>
      <c r="D151" s="39"/>
      <c r="E151" s="37" t="s">
        <v>323</v>
      </c>
      <c r="F151" s="131">
        <f>F152+F154</f>
        <v>562</v>
      </c>
      <c r="G151" s="131"/>
      <c r="H151" s="131">
        <f>H152+H154</f>
        <v>562</v>
      </c>
      <c r="I151" s="131"/>
      <c r="J151" s="131">
        <f>J152+J154</f>
        <v>562</v>
      </c>
      <c r="K151" s="131">
        <f>K152+K154</f>
        <v>584.5</v>
      </c>
      <c r="L151" s="131"/>
      <c r="M151" s="131">
        <f>M152+M154</f>
        <v>584.5</v>
      </c>
      <c r="N151" s="131">
        <f>N152+N154</f>
        <v>607.9</v>
      </c>
      <c r="O151" s="131"/>
      <c r="P151" s="131">
        <f>P152+P154</f>
        <v>607.9</v>
      </c>
    </row>
    <row r="152" spans="1:16" ht="40.15" x14ac:dyDescent="0.3">
      <c r="A152" s="7"/>
      <c r="B152" s="7"/>
      <c r="C152" s="7" t="s">
        <v>326</v>
      </c>
      <c r="D152" s="7"/>
      <c r="E152" s="3" t="s">
        <v>327</v>
      </c>
      <c r="F152" s="130">
        <v>10</v>
      </c>
      <c r="G152" s="130"/>
      <c r="H152" s="130">
        <v>10</v>
      </c>
      <c r="I152" s="130"/>
      <c r="J152" s="130">
        <v>10</v>
      </c>
      <c r="K152" s="130">
        <v>10.4</v>
      </c>
      <c r="L152" s="130"/>
      <c r="M152" s="130">
        <v>10.4</v>
      </c>
      <c r="N152" s="130">
        <v>10.8</v>
      </c>
      <c r="O152" s="130"/>
      <c r="P152" s="130">
        <v>10.8</v>
      </c>
    </row>
    <row r="153" spans="1:16" ht="27" x14ac:dyDescent="0.3">
      <c r="A153" s="7"/>
      <c r="B153" s="7"/>
      <c r="C153" s="7"/>
      <c r="D153" s="7" t="s">
        <v>336</v>
      </c>
      <c r="E153" s="3" t="s">
        <v>337</v>
      </c>
      <c r="F153" s="130">
        <v>10</v>
      </c>
      <c r="G153" s="130"/>
      <c r="H153" s="130">
        <v>10</v>
      </c>
      <c r="I153" s="130"/>
      <c r="J153" s="130">
        <v>10</v>
      </c>
      <c r="K153" s="130">
        <v>10.4</v>
      </c>
      <c r="L153" s="130"/>
      <c r="M153" s="130">
        <v>10.4</v>
      </c>
      <c r="N153" s="130">
        <v>10.8</v>
      </c>
      <c r="O153" s="130"/>
      <c r="P153" s="130">
        <v>10.8</v>
      </c>
    </row>
    <row r="154" spans="1:16" ht="53.45" x14ac:dyDescent="0.3">
      <c r="A154" s="7"/>
      <c r="B154" s="7"/>
      <c r="C154" s="7" t="s">
        <v>328</v>
      </c>
      <c r="D154" s="7"/>
      <c r="E154" s="3" t="s">
        <v>329</v>
      </c>
      <c r="F154" s="130">
        <v>552</v>
      </c>
      <c r="G154" s="130"/>
      <c r="H154" s="130">
        <v>552</v>
      </c>
      <c r="I154" s="130"/>
      <c r="J154" s="130">
        <v>552</v>
      </c>
      <c r="K154" s="130">
        <v>574.1</v>
      </c>
      <c r="L154" s="130"/>
      <c r="M154" s="130">
        <v>574.1</v>
      </c>
      <c r="N154" s="130">
        <v>597.1</v>
      </c>
      <c r="O154" s="130"/>
      <c r="P154" s="130">
        <v>597.1</v>
      </c>
    </row>
    <row r="155" spans="1:16" ht="27" x14ac:dyDescent="0.3">
      <c r="A155" s="7"/>
      <c r="B155" s="7"/>
      <c r="C155" s="7"/>
      <c r="D155" s="7" t="s">
        <v>336</v>
      </c>
      <c r="E155" s="3" t="s">
        <v>337</v>
      </c>
      <c r="F155" s="130">
        <v>552</v>
      </c>
      <c r="G155" s="130"/>
      <c r="H155" s="130">
        <v>552</v>
      </c>
      <c r="I155" s="130"/>
      <c r="J155" s="130">
        <v>552</v>
      </c>
      <c r="K155" s="130">
        <v>574.1</v>
      </c>
      <c r="L155" s="130"/>
      <c r="M155" s="130">
        <v>574.1</v>
      </c>
      <c r="N155" s="130">
        <v>597.1</v>
      </c>
      <c r="O155" s="130"/>
      <c r="P155" s="130">
        <v>597.1</v>
      </c>
    </row>
    <row r="156" spans="1:16" ht="27" x14ac:dyDescent="0.3">
      <c r="A156" s="34"/>
      <c r="B156" s="34"/>
      <c r="C156" s="34" t="s">
        <v>332</v>
      </c>
      <c r="D156" s="34"/>
      <c r="E156" s="35" t="s">
        <v>333</v>
      </c>
      <c r="F156" s="139">
        <f>F157</f>
        <v>341.2</v>
      </c>
      <c r="G156" s="139"/>
      <c r="H156" s="139">
        <f>H157</f>
        <v>391.2</v>
      </c>
      <c r="I156" s="139">
        <f>I157</f>
        <v>0</v>
      </c>
      <c r="J156" s="139">
        <f>J157</f>
        <v>391.2</v>
      </c>
      <c r="K156" s="139">
        <f>K157</f>
        <v>343.09999999999997</v>
      </c>
      <c r="L156" s="139"/>
      <c r="M156" s="139">
        <f>M157</f>
        <v>343.09999999999997</v>
      </c>
      <c r="N156" s="139">
        <f>N157</f>
        <v>345.3</v>
      </c>
      <c r="O156" s="139"/>
      <c r="P156" s="139">
        <f>P157</f>
        <v>345.3</v>
      </c>
    </row>
    <row r="157" spans="1:16" ht="40.15" x14ac:dyDescent="0.3">
      <c r="A157" s="36"/>
      <c r="B157" s="36"/>
      <c r="C157" s="36" t="s">
        <v>567</v>
      </c>
      <c r="D157" s="39"/>
      <c r="E157" s="37" t="s">
        <v>334</v>
      </c>
      <c r="F157" s="131">
        <f>F158+F165+F162</f>
        <v>341.2</v>
      </c>
      <c r="G157" s="131"/>
      <c r="H157" s="131">
        <f>H158+H165+H162</f>
        <v>391.2</v>
      </c>
      <c r="I157" s="131">
        <f>I158+I165+I162</f>
        <v>0</v>
      </c>
      <c r="J157" s="131">
        <f>J158+J165+J162</f>
        <v>391.2</v>
      </c>
      <c r="K157" s="131">
        <f>K158+K165+K162</f>
        <v>343.09999999999997</v>
      </c>
      <c r="L157" s="131"/>
      <c r="M157" s="131">
        <f>M158+M165+M162</f>
        <v>343.09999999999997</v>
      </c>
      <c r="N157" s="131">
        <f>N158+N165+N162</f>
        <v>345.3</v>
      </c>
      <c r="O157" s="131"/>
      <c r="P157" s="131">
        <f>P158+P165+P162</f>
        <v>345.3</v>
      </c>
    </row>
    <row r="158" spans="1:16" ht="40.15" x14ac:dyDescent="0.3">
      <c r="A158" s="81"/>
      <c r="B158" s="81"/>
      <c r="C158" s="7" t="s">
        <v>566</v>
      </c>
      <c r="D158" s="7"/>
      <c r="E158" s="52" t="s">
        <v>335</v>
      </c>
      <c r="F158" s="130">
        <f>F161+F160</f>
        <v>290</v>
      </c>
      <c r="G158" s="130"/>
      <c r="H158" s="130">
        <f>H161+H160</f>
        <v>340</v>
      </c>
      <c r="I158" s="130">
        <f>I161+I160</f>
        <v>0</v>
      </c>
      <c r="J158" s="130">
        <f>J161+J160</f>
        <v>340</v>
      </c>
      <c r="K158" s="130">
        <f>K161+K160</f>
        <v>290</v>
      </c>
      <c r="L158" s="130"/>
      <c r="M158" s="130">
        <f>M161+M160</f>
        <v>290</v>
      </c>
      <c r="N158" s="130">
        <f>N161+N160</f>
        <v>290</v>
      </c>
      <c r="O158" s="130"/>
      <c r="P158" s="130">
        <f>P161+P160</f>
        <v>290</v>
      </c>
    </row>
    <row r="159" spans="1:16" ht="27" x14ac:dyDescent="0.3">
      <c r="A159" s="81"/>
      <c r="B159" s="81"/>
      <c r="C159" s="7"/>
      <c r="D159" s="7" t="s">
        <v>336</v>
      </c>
      <c r="E159" s="3" t="s">
        <v>337</v>
      </c>
      <c r="F159" s="130">
        <v>290</v>
      </c>
      <c r="G159" s="130"/>
      <c r="H159" s="130">
        <f>H160+H161</f>
        <v>340</v>
      </c>
      <c r="I159" s="130">
        <f>I161</f>
        <v>0</v>
      </c>
      <c r="J159" s="130">
        <f>J160+J161</f>
        <v>340</v>
      </c>
      <c r="K159" s="130">
        <v>290</v>
      </c>
      <c r="L159" s="130"/>
      <c r="M159" s="130">
        <v>290</v>
      </c>
      <c r="N159" s="130">
        <v>290</v>
      </c>
      <c r="O159" s="130"/>
      <c r="P159" s="130">
        <v>290</v>
      </c>
    </row>
    <row r="160" spans="1:16" ht="14.45" x14ac:dyDescent="0.3">
      <c r="A160" s="81"/>
      <c r="B160" s="81"/>
      <c r="C160" s="7"/>
      <c r="D160" s="7"/>
      <c r="E160" s="3" t="s">
        <v>183</v>
      </c>
      <c r="F160" s="130">
        <v>111.6</v>
      </c>
      <c r="G160" s="130"/>
      <c r="H160" s="130">
        <v>111.6</v>
      </c>
      <c r="I160" s="130"/>
      <c r="J160" s="130">
        <v>111.6</v>
      </c>
      <c r="K160" s="130">
        <v>111.6</v>
      </c>
      <c r="L160" s="130"/>
      <c r="M160" s="130">
        <v>111.6</v>
      </c>
      <c r="N160" s="130">
        <v>111.6</v>
      </c>
      <c r="O160" s="130"/>
      <c r="P160" s="130">
        <v>111.6</v>
      </c>
    </row>
    <row r="161" spans="1:16" ht="14.45" x14ac:dyDescent="0.3">
      <c r="A161" s="81"/>
      <c r="B161" s="81"/>
      <c r="C161" s="7"/>
      <c r="D161" s="7"/>
      <c r="E161" s="3" t="s">
        <v>120</v>
      </c>
      <c r="F161" s="130">
        <v>178.4</v>
      </c>
      <c r="G161" s="130"/>
      <c r="H161" s="130">
        <v>228.4</v>
      </c>
      <c r="I161" s="130"/>
      <c r="J161" s="130">
        <f>SUM(H161:I161)</f>
        <v>228.4</v>
      </c>
      <c r="K161" s="130">
        <v>178.4</v>
      </c>
      <c r="L161" s="130"/>
      <c r="M161" s="130">
        <v>178.4</v>
      </c>
      <c r="N161" s="130">
        <v>178.4</v>
      </c>
      <c r="O161" s="130"/>
      <c r="P161" s="130">
        <v>178.4</v>
      </c>
    </row>
    <row r="162" spans="1:16" ht="40.15" x14ac:dyDescent="0.3">
      <c r="A162" s="81"/>
      <c r="B162" s="81"/>
      <c r="C162" s="7" t="s">
        <v>568</v>
      </c>
      <c r="D162" s="7"/>
      <c r="E162" s="3" t="s">
        <v>750</v>
      </c>
      <c r="F162" s="146">
        <v>31.2</v>
      </c>
      <c r="G162" s="146"/>
      <c r="H162" s="146">
        <v>31.2</v>
      </c>
      <c r="I162" s="146"/>
      <c r="J162" s="146">
        <v>31.2</v>
      </c>
      <c r="K162" s="146">
        <v>32.4</v>
      </c>
      <c r="L162" s="146"/>
      <c r="M162" s="146">
        <v>32.4</v>
      </c>
      <c r="N162" s="146">
        <v>33.700000000000003</v>
      </c>
      <c r="O162" s="146"/>
      <c r="P162" s="146">
        <v>33.700000000000003</v>
      </c>
    </row>
    <row r="163" spans="1:16" ht="27" x14ac:dyDescent="0.3">
      <c r="A163" s="81"/>
      <c r="B163" s="81"/>
      <c r="C163" s="7"/>
      <c r="D163" s="7" t="s">
        <v>336</v>
      </c>
      <c r="E163" s="3" t="s">
        <v>337</v>
      </c>
      <c r="F163" s="146">
        <v>27.4</v>
      </c>
      <c r="G163" s="146"/>
      <c r="H163" s="146">
        <v>27.4</v>
      </c>
      <c r="I163" s="146"/>
      <c r="J163" s="146">
        <v>27.4</v>
      </c>
      <c r="K163" s="146">
        <v>28.5</v>
      </c>
      <c r="L163" s="146"/>
      <c r="M163" s="146">
        <v>28.5</v>
      </c>
      <c r="N163" s="146">
        <v>29.7</v>
      </c>
      <c r="O163" s="146"/>
      <c r="P163" s="146">
        <v>29.7</v>
      </c>
    </row>
    <row r="164" spans="1:16" ht="27" x14ac:dyDescent="0.3">
      <c r="A164" s="81"/>
      <c r="B164" s="81"/>
      <c r="C164" s="7"/>
      <c r="D164" s="7" t="s">
        <v>608</v>
      </c>
      <c r="E164" s="3" t="s">
        <v>609</v>
      </c>
      <c r="F164" s="146">
        <v>3.8</v>
      </c>
      <c r="G164" s="146"/>
      <c r="H164" s="146">
        <v>3.8</v>
      </c>
      <c r="I164" s="146"/>
      <c r="J164" s="146">
        <v>3.8</v>
      </c>
      <c r="K164" s="146">
        <v>3.9</v>
      </c>
      <c r="L164" s="146"/>
      <c r="M164" s="146">
        <v>3.9</v>
      </c>
      <c r="N164" s="146">
        <v>4</v>
      </c>
      <c r="O164" s="146"/>
      <c r="P164" s="146">
        <v>4</v>
      </c>
    </row>
    <row r="165" spans="1:16" ht="14.45" x14ac:dyDescent="0.3">
      <c r="A165" s="81"/>
      <c r="B165" s="81"/>
      <c r="C165" s="7" t="s">
        <v>569</v>
      </c>
      <c r="D165" s="7"/>
      <c r="E165" s="3" t="s">
        <v>751</v>
      </c>
      <c r="F165" s="146">
        <v>20</v>
      </c>
      <c r="G165" s="146"/>
      <c r="H165" s="146">
        <v>20</v>
      </c>
      <c r="I165" s="146"/>
      <c r="J165" s="146">
        <v>20</v>
      </c>
      <c r="K165" s="146">
        <v>20.7</v>
      </c>
      <c r="L165" s="146"/>
      <c r="M165" s="146">
        <v>20.7</v>
      </c>
      <c r="N165" s="146">
        <v>21.6</v>
      </c>
      <c r="O165" s="146"/>
      <c r="P165" s="146">
        <v>21.6</v>
      </c>
    </row>
    <row r="166" spans="1:16" ht="27" x14ac:dyDescent="0.3">
      <c r="A166" s="81"/>
      <c r="B166" s="81"/>
      <c r="C166" s="7"/>
      <c r="D166" s="7" t="s">
        <v>608</v>
      </c>
      <c r="E166" s="3" t="s">
        <v>609</v>
      </c>
      <c r="F166" s="146">
        <v>20</v>
      </c>
      <c r="G166" s="146"/>
      <c r="H166" s="146">
        <v>20</v>
      </c>
      <c r="I166" s="146"/>
      <c r="J166" s="146">
        <v>20</v>
      </c>
      <c r="K166" s="146">
        <v>20.7</v>
      </c>
      <c r="L166" s="146"/>
      <c r="M166" s="146">
        <v>20.7</v>
      </c>
      <c r="N166" s="146">
        <v>21.6</v>
      </c>
      <c r="O166" s="146"/>
      <c r="P166" s="146">
        <v>21.6</v>
      </c>
    </row>
    <row r="167" spans="1:16" ht="52.9" x14ac:dyDescent="0.3">
      <c r="A167" s="94"/>
      <c r="B167" s="94"/>
      <c r="C167" s="95" t="s">
        <v>447</v>
      </c>
      <c r="D167" s="94"/>
      <c r="E167" s="96" t="s">
        <v>448</v>
      </c>
      <c r="F167" s="138">
        <f>F168</f>
        <v>127.3</v>
      </c>
      <c r="G167" s="138"/>
      <c r="H167" s="138">
        <f t="shared" ref="H167:P168" si="34">H168</f>
        <v>127.3</v>
      </c>
      <c r="I167" s="138"/>
      <c r="J167" s="138">
        <f t="shared" si="34"/>
        <v>127.3</v>
      </c>
      <c r="K167" s="138">
        <f t="shared" si="34"/>
        <v>0</v>
      </c>
      <c r="L167" s="138"/>
      <c r="M167" s="138">
        <f t="shared" si="34"/>
        <v>0</v>
      </c>
      <c r="N167" s="138">
        <f t="shared" si="34"/>
        <v>0</v>
      </c>
      <c r="O167" s="138"/>
      <c r="P167" s="138">
        <f t="shared" si="34"/>
        <v>0</v>
      </c>
    </row>
    <row r="168" spans="1:16" ht="27" x14ac:dyDescent="0.3">
      <c r="A168" s="36"/>
      <c r="B168" s="36"/>
      <c r="C168" s="36" t="s">
        <v>467</v>
      </c>
      <c r="D168" s="36"/>
      <c r="E168" s="22" t="s">
        <v>468</v>
      </c>
      <c r="F168" s="131">
        <f>F169</f>
        <v>127.3</v>
      </c>
      <c r="G168" s="131"/>
      <c r="H168" s="131">
        <f t="shared" si="34"/>
        <v>127.3</v>
      </c>
      <c r="I168" s="131"/>
      <c r="J168" s="131">
        <f t="shared" si="34"/>
        <v>127.3</v>
      </c>
      <c r="K168" s="131">
        <f t="shared" si="34"/>
        <v>0</v>
      </c>
      <c r="L168" s="131"/>
      <c r="M168" s="131">
        <f t="shared" si="34"/>
        <v>0</v>
      </c>
      <c r="N168" s="131">
        <f t="shared" si="34"/>
        <v>0</v>
      </c>
      <c r="O168" s="131"/>
      <c r="P168" s="131">
        <f t="shared" si="34"/>
        <v>0</v>
      </c>
    </row>
    <row r="169" spans="1:16" ht="14.45" x14ac:dyDescent="0.3">
      <c r="A169" s="81"/>
      <c r="B169" s="81"/>
      <c r="C169" s="7" t="s">
        <v>469</v>
      </c>
      <c r="D169" s="7"/>
      <c r="E169" s="68" t="s">
        <v>753</v>
      </c>
      <c r="F169" s="130">
        <v>127.3</v>
      </c>
      <c r="G169" s="130"/>
      <c r="H169" s="130">
        <v>127.3</v>
      </c>
      <c r="I169" s="130"/>
      <c r="J169" s="130">
        <v>127.3</v>
      </c>
      <c r="K169" s="130">
        <v>0</v>
      </c>
      <c r="L169" s="130"/>
      <c r="M169" s="130">
        <v>0</v>
      </c>
      <c r="N169" s="130">
        <v>0</v>
      </c>
      <c r="O169" s="130"/>
      <c r="P169" s="130">
        <v>0</v>
      </c>
    </row>
    <row r="170" spans="1:16" ht="27" x14ac:dyDescent="0.3">
      <c r="A170" s="81"/>
      <c r="B170" s="81"/>
      <c r="C170" s="7"/>
      <c r="D170" s="7" t="s">
        <v>336</v>
      </c>
      <c r="E170" s="3" t="s">
        <v>337</v>
      </c>
      <c r="F170" s="130">
        <v>127.3</v>
      </c>
      <c r="G170" s="130"/>
      <c r="H170" s="130">
        <v>127.3</v>
      </c>
      <c r="I170" s="130"/>
      <c r="J170" s="130">
        <v>127.3</v>
      </c>
      <c r="K170" s="130">
        <v>0</v>
      </c>
      <c r="L170" s="130"/>
      <c r="M170" s="130">
        <v>0</v>
      </c>
      <c r="N170" s="130">
        <v>0</v>
      </c>
      <c r="O170" s="130"/>
      <c r="P170" s="130">
        <v>0</v>
      </c>
    </row>
    <row r="171" spans="1:16" ht="14.45" x14ac:dyDescent="0.3">
      <c r="A171" s="85"/>
      <c r="B171" s="18" t="s">
        <v>645</v>
      </c>
      <c r="C171" s="86"/>
      <c r="D171" s="85"/>
      <c r="E171" s="87" t="s">
        <v>646</v>
      </c>
      <c r="F171" s="137">
        <f t="shared" ref="F171:O171" si="35">F172+F198+F204+F241</f>
        <v>71655.562000000005</v>
      </c>
      <c r="G171" s="137">
        <f t="shared" si="35"/>
        <v>2131.5</v>
      </c>
      <c r="H171" s="137">
        <f t="shared" si="35"/>
        <v>72420.661999999997</v>
      </c>
      <c r="I171" s="137">
        <f t="shared" si="35"/>
        <v>-10080.859040000001</v>
      </c>
      <c r="J171" s="137">
        <f t="shared" si="35"/>
        <v>62339.802959999994</v>
      </c>
      <c r="K171" s="137">
        <f t="shared" si="35"/>
        <v>106766.14615000002</v>
      </c>
      <c r="L171" s="137">
        <f>L172+L198+L204+L241</f>
        <v>0</v>
      </c>
      <c r="M171" s="137">
        <f t="shared" si="35"/>
        <v>106766.14615000002</v>
      </c>
      <c r="N171" s="137">
        <f t="shared" si="35"/>
        <v>119569.50175</v>
      </c>
      <c r="O171" s="137">
        <f t="shared" si="35"/>
        <v>0</v>
      </c>
      <c r="P171" s="137">
        <f>P172+P198+P204+P241</f>
        <v>119569.50175</v>
      </c>
    </row>
    <row r="172" spans="1:16" ht="14.45" x14ac:dyDescent="0.3">
      <c r="A172" s="85"/>
      <c r="B172" s="18" t="s">
        <v>647</v>
      </c>
      <c r="C172" s="86"/>
      <c r="D172" s="18"/>
      <c r="E172" s="90" t="s">
        <v>648</v>
      </c>
      <c r="F172" s="137">
        <f>F173+F194</f>
        <v>442.7</v>
      </c>
      <c r="G172" s="137"/>
      <c r="H172" s="137">
        <f>H173+H194</f>
        <v>442.7</v>
      </c>
      <c r="I172" s="137"/>
      <c r="J172" s="137">
        <f>J173+J194</f>
        <v>442.7</v>
      </c>
      <c r="K172" s="137">
        <f>K173+K194</f>
        <v>452.1</v>
      </c>
      <c r="L172" s="137"/>
      <c r="M172" s="137">
        <f>M173+M194</f>
        <v>452.1</v>
      </c>
      <c r="N172" s="137">
        <f>N173+N194</f>
        <v>354.8</v>
      </c>
      <c r="O172" s="137"/>
      <c r="P172" s="137">
        <f>P173+P194</f>
        <v>354.8</v>
      </c>
    </row>
    <row r="173" spans="1:16" ht="26.45" x14ac:dyDescent="0.3">
      <c r="A173" s="85"/>
      <c r="B173" s="18"/>
      <c r="C173" s="86" t="s">
        <v>6</v>
      </c>
      <c r="D173" s="85"/>
      <c r="E173" s="90" t="s">
        <v>7</v>
      </c>
      <c r="F173" s="137">
        <f>F174+F188</f>
        <v>354.7</v>
      </c>
      <c r="G173" s="137"/>
      <c r="H173" s="137">
        <f>H174+H188</f>
        <v>354.7</v>
      </c>
      <c r="I173" s="137"/>
      <c r="J173" s="137">
        <f>J174+J188</f>
        <v>354.7</v>
      </c>
      <c r="K173" s="137">
        <f>K174+K188</f>
        <v>364.1</v>
      </c>
      <c r="L173" s="137"/>
      <c r="M173" s="137">
        <f>M174+M188</f>
        <v>364.1</v>
      </c>
      <c r="N173" s="137">
        <f>N174+N188</f>
        <v>266.8</v>
      </c>
      <c r="O173" s="137"/>
      <c r="P173" s="137">
        <f>P174+P188</f>
        <v>266.8</v>
      </c>
    </row>
    <row r="174" spans="1:16" ht="26.45" x14ac:dyDescent="0.3">
      <c r="A174" s="94"/>
      <c r="B174" s="94"/>
      <c r="C174" s="95" t="s">
        <v>338</v>
      </c>
      <c r="D174" s="94"/>
      <c r="E174" s="96" t="s">
        <v>339</v>
      </c>
      <c r="F174" s="138">
        <f>F175</f>
        <v>246.9</v>
      </c>
      <c r="G174" s="138"/>
      <c r="H174" s="138">
        <f>H175</f>
        <v>246.9</v>
      </c>
      <c r="I174" s="138"/>
      <c r="J174" s="138">
        <f>J175</f>
        <v>246.9</v>
      </c>
      <c r="K174" s="138">
        <f>K175</f>
        <v>256.7</v>
      </c>
      <c r="L174" s="138"/>
      <c r="M174" s="138">
        <f>M175</f>
        <v>256.7</v>
      </c>
      <c r="N174" s="138">
        <f>N175</f>
        <v>266.8</v>
      </c>
      <c r="O174" s="138"/>
      <c r="P174" s="138">
        <f>P175</f>
        <v>266.8</v>
      </c>
    </row>
    <row r="175" spans="1:16" ht="27" x14ac:dyDescent="0.3">
      <c r="A175" s="34"/>
      <c r="B175" s="34"/>
      <c r="C175" s="34" t="s">
        <v>575</v>
      </c>
      <c r="D175" s="34"/>
      <c r="E175" s="60" t="s">
        <v>576</v>
      </c>
      <c r="F175" s="139">
        <f>F176+F179</f>
        <v>246.9</v>
      </c>
      <c r="G175" s="139"/>
      <c r="H175" s="139">
        <f>H176+H179</f>
        <v>246.9</v>
      </c>
      <c r="I175" s="139"/>
      <c r="J175" s="139">
        <f>J176+J179</f>
        <v>246.9</v>
      </c>
      <c r="K175" s="139">
        <f>K176+K179</f>
        <v>256.7</v>
      </c>
      <c r="L175" s="139"/>
      <c r="M175" s="139">
        <f>M176+M179</f>
        <v>256.7</v>
      </c>
      <c r="N175" s="139">
        <f>N176+N179</f>
        <v>266.8</v>
      </c>
      <c r="O175" s="139"/>
      <c r="P175" s="139">
        <f>P176+P179</f>
        <v>266.8</v>
      </c>
    </row>
    <row r="176" spans="1:16" ht="27" x14ac:dyDescent="0.3">
      <c r="A176" s="36"/>
      <c r="B176" s="36"/>
      <c r="C176" s="36" t="s">
        <v>577</v>
      </c>
      <c r="D176" s="36"/>
      <c r="E176" s="22" t="s">
        <v>445</v>
      </c>
      <c r="F176" s="131">
        <f>F177</f>
        <v>120</v>
      </c>
      <c r="G176" s="131"/>
      <c r="H176" s="131">
        <f>H177</f>
        <v>120</v>
      </c>
      <c r="I176" s="131"/>
      <c r="J176" s="131">
        <f>J177</f>
        <v>120</v>
      </c>
      <c r="K176" s="131">
        <f>K177</f>
        <v>124.8</v>
      </c>
      <c r="L176" s="131"/>
      <c r="M176" s="131">
        <f>M177</f>
        <v>124.8</v>
      </c>
      <c r="N176" s="131">
        <f>N177</f>
        <v>130</v>
      </c>
      <c r="O176" s="131"/>
      <c r="P176" s="131">
        <f>P177</f>
        <v>130</v>
      </c>
    </row>
    <row r="177" spans="1:16" ht="14.45" x14ac:dyDescent="0.3">
      <c r="A177" s="7"/>
      <c r="B177" s="7"/>
      <c r="C177" s="7" t="s">
        <v>578</v>
      </c>
      <c r="D177" s="7"/>
      <c r="E177" s="20" t="s">
        <v>341</v>
      </c>
      <c r="F177" s="146">
        <v>120</v>
      </c>
      <c r="G177" s="146"/>
      <c r="H177" s="146">
        <v>120</v>
      </c>
      <c r="I177" s="146"/>
      <c r="J177" s="146">
        <v>120</v>
      </c>
      <c r="K177" s="146">
        <v>124.8</v>
      </c>
      <c r="L177" s="146"/>
      <c r="M177" s="146">
        <v>124.8</v>
      </c>
      <c r="N177" s="146">
        <v>130</v>
      </c>
      <c r="O177" s="146"/>
      <c r="P177" s="146">
        <v>130</v>
      </c>
    </row>
    <row r="178" spans="1:16" ht="27" x14ac:dyDescent="0.3">
      <c r="A178" s="7"/>
      <c r="B178" s="7"/>
      <c r="C178" s="7"/>
      <c r="D178" s="7" t="s">
        <v>336</v>
      </c>
      <c r="E178" s="3" t="s">
        <v>337</v>
      </c>
      <c r="F178" s="146">
        <v>120</v>
      </c>
      <c r="G178" s="146"/>
      <c r="H178" s="146">
        <v>120</v>
      </c>
      <c r="I178" s="146"/>
      <c r="J178" s="146">
        <v>120</v>
      </c>
      <c r="K178" s="146">
        <v>124.8</v>
      </c>
      <c r="L178" s="146"/>
      <c r="M178" s="146">
        <v>124.8</v>
      </c>
      <c r="N178" s="146">
        <v>130</v>
      </c>
      <c r="O178" s="146"/>
      <c r="P178" s="146">
        <v>130</v>
      </c>
    </row>
    <row r="179" spans="1:16" ht="14.45" x14ac:dyDescent="0.3">
      <c r="A179" s="36"/>
      <c r="B179" s="36"/>
      <c r="C179" s="36" t="s">
        <v>579</v>
      </c>
      <c r="D179" s="36"/>
      <c r="E179" s="22" t="s">
        <v>446</v>
      </c>
      <c r="F179" s="131">
        <f>F180+F182+F184+F186</f>
        <v>126.9</v>
      </c>
      <c r="G179" s="131"/>
      <c r="H179" s="131">
        <f>H180+H182+H184+H186</f>
        <v>126.9</v>
      </c>
      <c r="I179" s="131"/>
      <c r="J179" s="131">
        <f>J180+J182+J184+J186</f>
        <v>126.9</v>
      </c>
      <c r="K179" s="131">
        <f>K180+K182+K184+K186</f>
        <v>131.9</v>
      </c>
      <c r="L179" s="131"/>
      <c r="M179" s="131">
        <f>M180+M182+M184+M186</f>
        <v>131.9</v>
      </c>
      <c r="N179" s="131">
        <f>N180+N182+N184+N186</f>
        <v>136.80000000000001</v>
      </c>
      <c r="O179" s="131"/>
      <c r="P179" s="131">
        <f>P180+P182+P184+P186</f>
        <v>136.80000000000001</v>
      </c>
    </row>
    <row r="180" spans="1:16" ht="27" x14ac:dyDescent="0.3">
      <c r="A180" s="81"/>
      <c r="B180" s="81"/>
      <c r="C180" s="7" t="s">
        <v>580</v>
      </c>
      <c r="D180" s="7"/>
      <c r="E180" s="20" t="s">
        <v>342</v>
      </c>
      <c r="F180" s="146">
        <f>100-64</f>
        <v>36</v>
      </c>
      <c r="G180" s="146"/>
      <c r="H180" s="146">
        <f>100-64</f>
        <v>36</v>
      </c>
      <c r="I180" s="146"/>
      <c r="J180" s="146">
        <f>100-64</f>
        <v>36</v>
      </c>
      <c r="K180" s="146">
        <f>104-66.6</f>
        <v>37.400000000000006</v>
      </c>
      <c r="L180" s="146"/>
      <c r="M180" s="146">
        <f>104-66.6</f>
        <v>37.400000000000006</v>
      </c>
      <c r="N180" s="146">
        <f>108-69.3</f>
        <v>38.700000000000003</v>
      </c>
      <c r="O180" s="146"/>
      <c r="P180" s="146">
        <f>108-69.3</f>
        <v>38.700000000000003</v>
      </c>
    </row>
    <row r="181" spans="1:16" ht="27" x14ac:dyDescent="0.3">
      <c r="A181" s="81"/>
      <c r="B181" s="81"/>
      <c r="C181" s="7"/>
      <c r="D181" s="7" t="s">
        <v>336</v>
      </c>
      <c r="E181" s="3" t="s">
        <v>337</v>
      </c>
      <c r="F181" s="146">
        <f>100-64</f>
        <v>36</v>
      </c>
      <c r="G181" s="146"/>
      <c r="H181" s="146">
        <f>100-64</f>
        <v>36</v>
      </c>
      <c r="I181" s="146"/>
      <c r="J181" s="146">
        <f>100-64</f>
        <v>36</v>
      </c>
      <c r="K181" s="146">
        <f>104-66.6</f>
        <v>37.400000000000006</v>
      </c>
      <c r="L181" s="146"/>
      <c r="M181" s="146">
        <f>104-66.6</f>
        <v>37.400000000000006</v>
      </c>
      <c r="N181" s="146">
        <f>108-69.3</f>
        <v>38.700000000000003</v>
      </c>
      <c r="O181" s="146"/>
      <c r="P181" s="146">
        <f>108-69.3</f>
        <v>38.700000000000003</v>
      </c>
    </row>
    <row r="182" spans="1:16" ht="14.45" x14ac:dyDescent="0.3">
      <c r="A182" s="81"/>
      <c r="B182" s="81"/>
      <c r="C182" s="7" t="s">
        <v>581</v>
      </c>
      <c r="D182" s="7"/>
      <c r="E182" s="20" t="s">
        <v>343</v>
      </c>
      <c r="F182" s="146">
        <v>40</v>
      </c>
      <c r="G182" s="146"/>
      <c r="H182" s="146">
        <v>40</v>
      </c>
      <c r="I182" s="146"/>
      <c r="J182" s="146">
        <v>40</v>
      </c>
      <c r="K182" s="146">
        <v>41.6</v>
      </c>
      <c r="L182" s="146"/>
      <c r="M182" s="146">
        <v>41.6</v>
      </c>
      <c r="N182" s="146">
        <v>43.2</v>
      </c>
      <c r="O182" s="146"/>
      <c r="P182" s="146">
        <v>43.2</v>
      </c>
    </row>
    <row r="183" spans="1:16" ht="27" x14ac:dyDescent="0.3">
      <c r="A183" s="81"/>
      <c r="B183" s="81"/>
      <c r="C183" s="7"/>
      <c r="D183" s="7" t="s">
        <v>336</v>
      </c>
      <c r="E183" s="3" t="s">
        <v>337</v>
      </c>
      <c r="F183" s="146">
        <v>40</v>
      </c>
      <c r="G183" s="146"/>
      <c r="H183" s="146">
        <v>40</v>
      </c>
      <c r="I183" s="146"/>
      <c r="J183" s="146">
        <v>40</v>
      </c>
      <c r="K183" s="146">
        <v>41.6</v>
      </c>
      <c r="L183" s="146"/>
      <c r="M183" s="146">
        <v>41.6</v>
      </c>
      <c r="N183" s="146">
        <v>43.2</v>
      </c>
      <c r="O183" s="146"/>
      <c r="P183" s="146">
        <v>43.2</v>
      </c>
    </row>
    <row r="184" spans="1:16" ht="14.45" x14ac:dyDescent="0.3">
      <c r="A184" s="81"/>
      <c r="B184" s="81"/>
      <c r="C184" s="7" t="s">
        <v>582</v>
      </c>
      <c r="D184" s="7"/>
      <c r="E184" s="20" t="s">
        <v>344</v>
      </c>
      <c r="F184" s="146">
        <f>50-24.2</f>
        <v>25.8</v>
      </c>
      <c r="G184" s="146"/>
      <c r="H184" s="146">
        <f>50-24.2</f>
        <v>25.8</v>
      </c>
      <c r="I184" s="146"/>
      <c r="J184" s="146">
        <f>50-24.2</f>
        <v>25.8</v>
      </c>
      <c r="K184" s="146">
        <f>52-25.2</f>
        <v>26.8</v>
      </c>
      <c r="L184" s="146"/>
      <c r="M184" s="146">
        <f>52-25.2</f>
        <v>26.8</v>
      </c>
      <c r="N184" s="146">
        <f>54-26.2</f>
        <v>27.8</v>
      </c>
      <c r="O184" s="146"/>
      <c r="P184" s="146">
        <f>54-26.2</f>
        <v>27.8</v>
      </c>
    </row>
    <row r="185" spans="1:16" ht="27" x14ac:dyDescent="0.3">
      <c r="A185" s="81"/>
      <c r="B185" s="81"/>
      <c r="C185" s="7"/>
      <c r="D185" s="7" t="s">
        <v>336</v>
      </c>
      <c r="E185" s="3" t="s">
        <v>337</v>
      </c>
      <c r="F185" s="146">
        <f>50-24.2</f>
        <v>25.8</v>
      </c>
      <c r="G185" s="146"/>
      <c r="H185" s="146">
        <f>50-24.2</f>
        <v>25.8</v>
      </c>
      <c r="I185" s="146"/>
      <c r="J185" s="146">
        <f>50-24.2</f>
        <v>25.8</v>
      </c>
      <c r="K185" s="146">
        <f>52-25.2</f>
        <v>26.8</v>
      </c>
      <c r="L185" s="146"/>
      <c r="M185" s="146">
        <f>52-25.2</f>
        <v>26.8</v>
      </c>
      <c r="N185" s="146">
        <f>54-26.2</f>
        <v>27.8</v>
      </c>
      <c r="O185" s="146"/>
      <c r="P185" s="146">
        <f>54-26.2</f>
        <v>27.8</v>
      </c>
    </row>
    <row r="186" spans="1:16" ht="15.75" customHeight="1" x14ac:dyDescent="0.3">
      <c r="A186" s="81"/>
      <c r="B186" s="81"/>
      <c r="C186" s="7" t="s">
        <v>583</v>
      </c>
      <c r="D186" s="7"/>
      <c r="E186" s="20" t="s">
        <v>345</v>
      </c>
      <c r="F186" s="146">
        <f>50-24.9</f>
        <v>25.1</v>
      </c>
      <c r="G186" s="146"/>
      <c r="H186" s="146">
        <f>50-24.9</f>
        <v>25.1</v>
      </c>
      <c r="I186" s="146"/>
      <c r="J186" s="146">
        <f>50-24.9</f>
        <v>25.1</v>
      </c>
      <c r="K186" s="146">
        <f>52-25.9</f>
        <v>26.1</v>
      </c>
      <c r="L186" s="146"/>
      <c r="M186" s="146">
        <f>52-25.9</f>
        <v>26.1</v>
      </c>
      <c r="N186" s="146">
        <f>54-26.9</f>
        <v>27.1</v>
      </c>
      <c r="O186" s="146"/>
      <c r="P186" s="146">
        <f>54-26.9</f>
        <v>27.1</v>
      </c>
    </row>
    <row r="187" spans="1:16" ht="27" x14ac:dyDescent="0.3">
      <c r="A187" s="81"/>
      <c r="B187" s="81"/>
      <c r="C187" s="7"/>
      <c r="D187" s="7" t="s">
        <v>336</v>
      </c>
      <c r="E187" s="3" t="s">
        <v>337</v>
      </c>
      <c r="F187" s="146">
        <f>50-24.9</f>
        <v>25.1</v>
      </c>
      <c r="G187" s="146"/>
      <c r="H187" s="146">
        <f>50-24.9</f>
        <v>25.1</v>
      </c>
      <c r="I187" s="146"/>
      <c r="J187" s="146">
        <f>50-24.9</f>
        <v>25.1</v>
      </c>
      <c r="K187" s="146">
        <f>52-25.9</f>
        <v>26.1</v>
      </c>
      <c r="L187" s="146"/>
      <c r="M187" s="146">
        <f>52-25.9</f>
        <v>26.1</v>
      </c>
      <c r="N187" s="146">
        <f>54-26.9</f>
        <v>27.1</v>
      </c>
      <c r="O187" s="146"/>
      <c r="P187" s="146">
        <f>54-26.9</f>
        <v>27.1</v>
      </c>
    </row>
    <row r="188" spans="1:16" ht="26.45" x14ac:dyDescent="0.3">
      <c r="A188" s="94"/>
      <c r="B188" s="94"/>
      <c r="C188" s="95" t="s">
        <v>346</v>
      </c>
      <c r="D188" s="94"/>
      <c r="E188" s="96" t="s">
        <v>347</v>
      </c>
      <c r="F188" s="138">
        <f>F189</f>
        <v>107.8</v>
      </c>
      <c r="G188" s="138"/>
      <c r="H188" s="138">
        <f t="shared" ref="H188:P190" si="36">H189</f>
        <v>107.8</v>
      </c>
      <c r="I188" s="138"/>
      <c r="J188" s="138">
        <f t="shared" si="36"/>
        <v>107.8</v>
      </c>
      <c r="K188" s="138">
        <f t="shared" si="36"/>
        <v>107.4</v>
      </c>
      <c r="L188" s="138"/>
      <c r="M188" s="138">
        <f t="shared" si="36"/>
        <v>107.4</v>
      </c>
      <c r="N188" s="138">
        <f t="shared" si="36"/>
        <v>0</v>
      </c>
      <c r="O188" s="138"/>
      <c r="P188" s="138">
        <f t="shared" si="36"/>
        <v>0</v>
      </c>
    </row>
    <row r="189" spans="1:16" ht="27" x14ac:dyDescent="0.3">
      <c r="A189" s="34"/>
      <c r="B189" s="34"/>
      <c r="C189" s="34" t="s">
        <v>364</v>
      </c>
      <c r="D189" s="34"/>
      <c r="E189" s="60" t="s">
        <v>365</v>
      </c>
      <c r="F189" s="139">
        <f>F190</f>
        <v>107.8</v>
      </c>
      <c r="G189" s="139"/>
      <c r="H189" s="139">
        <f t="shared" si="36"/>
        <v>107.8</v>
      </c>
      <c r="I189" s="139"/>
      <c r="J189" s="139">
        <f t="shared" si="36"/>
        <v>107.8</v>
      </c>
      <c r="K189" s="139">
        <f t="shared" si="36"/>
        <v>107.4</v>
      </c>
      <c r="L189" s="139"/>
      <c r="M189" s="139">
        <f t="shared" si="36"/>
        <v>107.4</v>
      </c>
      <c r="N189" s="139">
        <f t="shared" si="36"/>
        <v>0</v>
      </c>
      <c r="O189" s="139"/>
      <c r="P189" s="139">
        <f t="shared" si="36"/>
        <v>0</v>
      </c>
    </row>
    <row r="190" spans="1:16" ht="40.15" x14ac:dyDescent="0.3">
      <c r="A190" s="36"/>
      <c r="B190" s="36"/>
      <c r="C190" s="36" t="s">
        <v>384</v>
      </c>
      <c r="D190" s="39"/>
      <c r="E190" s="22" t="s">
        <v>610</v>
      </c>
      <c r="F190" s="131">
        <f>F191</f>
        <v>107.8</v>
      </c>
      <c r="G190" s="131"/>
      <c r="H190" s="131">
        <f t="shared" si="36"/>
        <v>107.8</v>
      </c>
      <c r="I190" s="131"/>
      <c r="J190" s="131">
        <f t="shared" si="36"/>
        <v>107.8</v>
      </c>
      <c r="K190" s="131">
        <f t="shared" si="36"/>
        <v>107.4</v>
      </c>
      <c r="L190" s="131"/>
      <c r="M190" s="131">
        <f t="shared" si="36"/>
        <v>107.4</v>
      </c>
      <c r="N190" s="131">
        <f t="shared" si="36"/>
        <v>0</v>
      </c>
      <c r="O190" s="131"/>
      <c r="P190" s="131">
        <f t="shared" si="36"/>
        <v>0</v>
      </c>
    </row>
    <row r="191" spans="1:16" ht="39.6" x14ac:dyDescent="0.3">
      <c r="A191" s="81"/>
      <c r="B191" s="81"/>
      <c r="C191" s="17" t="s">
        <v>587</v>
      </c>
      <c r="D191" s="17"/>
      <c r="E191" s="1" t="s">
        <v>588</v>
      </c>
      <c r="F191" s="146">
        <f>F193</f>
        <v>107.8</v>
      </c>
      <c r="G191" s="146"/>
      <c r="H191" s="146">
        <f>H193</f>
        <v>107.8</v>
      </c>
      <c r="I191" s="146"/>
      <c r="J191" s="146">
        <f>J193</f>
        <v>107.8</v>
      </c>
      <c r="K191" s="146">
        <f>K193</f>
        <v>107.4</v>
      </c>
      <c r="L191" s="146"/>
      <c r="M191" s="146">
        <f>M193</f>
        <v>107.4</v>
      </c>
      <c r="N191" s="146">
        <f>N193</f>
        <v>0</v>
      </c>
      <c r="O191" s="146"/>
      <c r="P191" s="146">
        <f>P193</f>
        <v>0</v>
      </c>
    </row>
    <row r="192" spans="1:16" ht="27" x14ac:dyDescent="0.3">
      <c r="A192" s="81"/>
      <c r="B192" s="81"/>
      <c r="C192" s="17"/>
      <c r="D192" s="7" t="s">
        <v>336</v>
      </c>
      <c r="E192" s="3" t="s">
        <v>337</v>
      </c>
      <c r="F192" s="146">
        <v>107.8</v>
      </c>
      <c r="G192" s="146"/>
      <c r="H192" s="146">
        <v>107.8</v>
      </c>
      <c r="I192" s="146"/>
      <c r="J192" s="146">
        <v>107.8</v>
      </c>
      <c r="K192" s="146">
        <v>107.4</v>
      </c>
      <c r="L192" s="146"/>
      <c r="M192" s="146">
        <v>107.4</v>
      </c>
      <c r="N192" s="146">
        <v>0</v>
      </c>
      <c r="O192" s="146"/>
      <c r="P192" s="146">
        <v>0</v>
      </c>
    </row>
    <row r="193" spans="1:16" ht="14.45" x14ac:dyDescent="0.3">
      <c r="A193" s="81"/>
      <c r="B193" s="81"/>
      <c r="C193" s="13"/>
      <c r="D193" s="24"/>
      <c r="E193" s="10" t="s">
        <v>120</v>
      </c>
      <c r="F193" s="130">
        <v>107.8</v>
      </c>
      <c r="G193" s="130"/>
      <c r="H193" s="130">
        <v>107.8</v>
      </c>
      <c r="I193" s="130"/>
      <c r="J193" s="130">
        <v>107.8</v>
      </c>
      <c r="K193" s="130">
        <v>107.4</v>
      </c>
      <c r="L193" s="130"/>
      <c r="M193" s="130">
        <v>107.4</v>
      </c>
      <c r="N193" s="130">
        <v>0</v>
      </c>
      <c r="O193" s="130"/>
      <c r="P193" s="130">
        <v>0</v>
      </c>
    </row>
    <row r="194" spans="1:16" ht="14.45" x14ac:dyDescent="0.3">
      <c r="A194" s="196"/>
      <c r="B194" s="196"/>
      <c r="C194" s="103" t="s">
        <v>620</v>
      </c>
      <c r="D194" s="102"/>
      <c r="E194" s="198" t="s">
        <v>621</v>
      </c>
      <c r="F194" s="197">
        <f>F195</f>
        <v>88</v>
      </c>
      <c r="G194" s="197"/>
      <c r="H194" s="197">
        <f t="shared" ref="H194:P196" si="37">H195</f>
        <v>88</v>
      </c>
      <c r="I194" s="197"/>
      <c r="J194" s="197">
        <f t="shared" si="37"/>
        <v>88</v>
      </c>
      <c r="K194" s="197">
        <f t="shared" si="37"/>
        <v>88</v>
      </c>
      <c r="L194" s="197"/>
      <c r="M194" s="197">
        <f t="shared" si="37"/>
        <v>88</v>
      </c>
      <c r="N194" s="197">
        <f t="shared" si="37"/>
        <v>88</v>
      </c>
      <c r="O194" s="197"/>
      <c r="P194" s="197">
        <f t="shared" si="37"/>
        <v>88</v>
      </c>
    </row>
    <row r="195" spans="1:16" ht="39.6" x14ac:dyDescent="0.3">
      <c r="A195" s="181"/>
      <c r="B195" s="181"/>
      <c r="C195" s="182" t="s">
        <v>509</v>
      </c>
      <c r="D195" s="183"/>
      <c r="E195" s="184" t="s">
        <v>510</v>
      </c>
      <c r="F195" s="185">
        <f>F196</f>
        <v>88</v>
      </c>
      <c r="G195" s="185"/>
      <c r="H195" s="185">
        <f t="shared" si="37"/>
        <v>88</v>
      </c>
      <c r="I195" s="185"/>
      <c r="J195" s="185">
        <f t="shared" si="37"/>
        <v>88</v>
      </c>
      <c r="K195" s="185">
        <f t="shared" si="37"/>
        <v>88</v>
      </c>
      <c r="L195" s="185"/>
      <c r="M195" s="185">
        <f t="shared" si="37"/>
        <v>88</v>
      </c>
      <c r="N195" s="185">
        <f t="shared" si="37"/>
        <v>88</v>
      </c>
      <c r="O195" s="185"/>
      <c r="P195" s="185">
        <f t="shared" si="37"/>
        <v>88</v>
      </c>
    </row>
    <row r="196" spans="1:16" ht="27" x14ac:dyDescent="0.3">
      <c r="A196" s="81"/>
      <c r="B196" s="81"/>
      <c r="C196" s="7" t="s">
        <v>528</v>
      </c>
      <c r="D196" s="7"/>
      <c r="E196" s="9" t="s">
        <v>529</v>
      </c>
      <c r="F196" s="130">
        <f>F197</f>
        <v>88</v>
      </c>
      <c r="G196" s="130"/>
      <c r="H196" s="130">
        <f t="shared" si="37"/>
        <v>88</v>
      </c>
      <c r="I196" s="130"/>
      <c r="J196" s="130">
        <f t="shared" si="37"/>
        <v>88</v>
      </c>
      <c r="K196" s="130">
        <f t="shared" si="37"/>
        <v>88</v>
      </c>
      <c r="L196" s="130"/>
      <c r="M196" s="130">
        <f t="shared" si="37"/>
        <v>88</v>
      </c>
      <c r="N196" s="130">
        <f t="shared" si="37"/>
        <v>88</v>
      </c>
      <c r="O196" s="130"/>
      <c r="P196" s="130">
        <f t="shared" si="37"/>
        <v>88</v>
      </c>
    </row>
    <row r="197" spans="1:16" ht="27" x14ac:dyDescent="0.3">
      <c r="A197" s="81"/>
      <c r="B197" s="81"/>
      <c r="C197" s="7"/>
      <c r="D197" s="7" t="s">
        <v>336</v>
      </c>
      <c r="E197" s="3" t="s">
        <v>337</v>
      </c>
      <c r="F197" s="130">
        <v>88</v>
      </c>
      <c r="G197" s="130"/>
      <c r="H197" s="130">
        <v>88</v>
      </c>
      <c r="I197" s="130"/>
      <c r="J197" s="130">
        <v>88</v>
      </c>
      <c r="K197" s="130">
        <v>88</v>
      </c>
      <c r="L197" s="130"/>
      <c r="M197" s="130">
        <v>88</v>
      </c>
      <c r="N197" s="130">
        <v>88</v>
      </c>
      <c r="O197" s="130"/>
      <c r="P197" s="130">
        <v>88</v>
      </c>
    </row>
    <row r="198" spans="1:16" ht="14.45" x14ac:dyDescent="0.3">
      <c r="A198" s="85"/>
      <c r="B198" s="18" t="s">
        <v>649</v>
      </c>
      <c r="C198" s="86"/>
      <c r="D198" s="85"/>
      <c r="E198" s="87" t="s">
        <v>650</v>
      </c>
      <c r="F198" s="157">
        <f>F199</f>
        <v>3367.5</v>
      </c>
      <c r="G198" s="157"/>
      <c r="H198" s="157">
        <f t="shared" ref="H198:P199" si="38">H199</f>
        <v>3629.4</v>
      </c>
      <c r="I198" s="157">
        <f t="shared" si="38"/>
        <v>0</v>
      </c>
      <c r="J198" s="157">
        <f t="shared" si="38"/>
        <v>3629.4</v>
      </c>
      <c r="K198" s="157">
        <f t="shared" si="38"/>
        <v>3502.2</v>
      </c>
      <c r="L198" s="157"/>
      <c r="M198" s="157">
        <f t="shared" si="38"/>
        <v>3502.2</v>
      </c>
      <c r="N198" s="157">
        <f t="shared" si="38"/>
        <v>3642.3</v>
      </c>
      <c r="O198" s="157"/>
      <c r="P198" s="157">
        <f t="shared" si="38"/>
        <v>3642.3</v>
      </c>
    </row>
    <row r="199" spans="1:16" ht="26.45" x14ac:dyDescent="0.3">
      <c r="A199" s="94"/>
      <c r="B199" s="94"/>
      <c r="C199" s="95" t="s">
        <v>412</v>
      </c>
      <c r="D199" s="94"/>
      <c r="E199" s="96" t="s">
        <v>413</v>
      </c>
      <c r="F199" s="138">
        <f>F200</f>
        <v>3367.5</v>
      </c>
      <c r="G199" s="138"/>
      <c r="H199" s="138">
        <f t="shared" si="38"/>
        <v>3629.4</v>
      </c>
      <c r="I199" s="138">
        <f t="shared" si="38"/>
        <v>0</v>
      </c>
      <c r="J199" s="138">
        <f t="shared" si="38"/>
        <v>3629.4</v>
      </c>
      <c r="K199" s="138">
        <f t="shared" si="38"/>
        <v>3502.2</v>
      </c>
      <c r="L199" s="138"/>
      <c r="M199" s="138">
        <f t="shared" si="38"/>
        <v>3502.2</v>
      </c>
      <c r="N199" s="138">
        <f t="shared" si="38"/>
        <v>3642.3</v>
      </c>
      <c r="O199" s="138"/>
      <c r="P199" s="138">
        <f t="shared" si="38"/>
        <v>3642.3</v>
      </c>
    </row>
    <row r="200" spans="1:16" ht="27" x14ac:dyDescent="0.3">
      <c r="A200" s="34"/>
      <c r="B200" s="34"/>
      <c r="C200" s="34" t="s">
        <v>433</v>
      </c>
      <c r="D200" s="34"/>
      <c r="E200" s="35" t="s">
        <v>434</v>
      </c>
      <c r="F200" s="139">
        <f t="shared" ref="F200:P201" si="39">F201</f>
        <v>3367.5</v>
      </c>
      <c r="G200" s="139"/>
      <c r="H200" s="139">
        <f t="shared" si="39"/>
        <v>3629.4</v>
      </c>
      <c r="I200" s="139">
        <f t="shared" si="39"/>
        <v>0</v>
      </c>
      <c r="J200" s="139">
        <f t="shared" si="39"/>
        <v>3629.4</v>
      </c>
      <c r="K200" s="139">
        <f t="shared" si="39"/>
        <v>3502.2</v>
      </c>
      <c r="L200" s="139"/>
      <c r="M200" s="139">
        <f t="shared" si="39"/>
        <v>3502.2</v>
      </c>
      <c r="N200" s="139">
        <f t="shared" si="39"/>
        <v>3642.3</v>
      </c>
      <c r="O200" s="139"/>
      <c r="P200" s="139">
        <f t="shared" si="39"/>
        <v>3642.3</v>
      </c>
    </row>
    <row r="201" spans="1:16" ht="27" x14ac:dyDescent="0.3">
      <c r="A201" s="36"/>
      <c r="B201" s="36"/>
      <c r="C201" s="36" t="s">
        <v>435</v>
      </c>
      <c r="D201" s="36"/>
      <c r="E201" s="37" t="s">
        <v>436</v>
      </c>
      <c r="F201" s="131">
        <f t="shared" si="39"/>
        <v>3367.5</v>
      </c>
      <c r="G201" s="131"/>
      <c r="H201" s="131">
        <f t="shared" si="39"/>
        <v>3629.4</v>
      </c>
      <c r="I201" s="131">
        <f t="shared" si="39"/>
        <v>0</v>
      </c>
      <c r="J201" s="131">
        <f t="shared" si="39"/>
        <v>3629.4</v>
      </c>
      <c r="K201" s="131">
        <f t="shared" si="39"/>
        <v>3502.2</v>
      </c>
      <c r="L201" s="131"/>
      <c r="M201" s="131">
        <f t="shared" si="39"/>
        <v>3502.2</v>
      </c>
      <c r="N201" s="131">
        <f t="shared" si="39"/>
        <v>3642.3</v>
      </c>
      <c r="O201" s="131"/>
      <c r="P201" s="131">
        <f t="shared" si="39"/>
        <v>3642.3</v>
      </c>
    </row>
    <row r="202" spans="1:16" ht="27" x14ac:dyDescent="0.3">
      <c r="A202" s="81"/>
      <c r="B202" s="81"/>
      <c r="C202" s="7" t="s">
        <v>437</v>
      </c>
      <c r="D202" s="13"/>
      <c r="E202" s="3" t="s">
        <v>438</v>
      </c>
      <c r="F202" s="130">
        <v>3367.5</v>
      </c>
      <c r="G202" s="130"/>
      <c r="H202" s="130">
        <f>H203</f>
        <v>3629.4</v>
      </c>
      <c r="I202" s="130">
        <f>I203</f>
        <v>0</v>
      </c>
      <c r="J202" s="130">
        <f>J203</f>
        <v>3629.4</v>
      </c>
      <c r="K202" s="130">
        <v>3502.2</v>
      </c>
      <c r="L202" s="130"/>
      <c r="M202" s="130">
        <v>3502.2</v>
      </c>
      <c r="N202" s="130">
        <v>3642.3</v>
      </c>
      <c r="O202" s="130"/>
      <c r="P202" s="130">
        <v>3642.3</v>
      </c>
    </row>
    <row r="203" spans="1:16" ht="27" x14ac:dyDescent="0.3">
      <c r="A203" s="81"/>
      <c r="B203" s="81"/>
      <c r="C203" s="7"/>
      <c r="D203" s="7" t="s">
        <v>336</v>
      </c>
      <c r="E203" s="3" t="s">
        <v>337</v>
      </c>
      <c r="F203" s="130">
        <v>3367.5</v>
      </c>
      <c r="G203" s="130"/>
      <c r="H203" s="130">
        <v>3629.4</v>
      </c>
      <c r="I203" s="130"/>
      <c r="J203" s="130">
        <f>SUM(H203:I203)</f>
        <v>3629.4</v>
      </c>
      <c r="K203" s="130">
        <v>3502.2</v>
      </c>
      <c r="L203" s="130"/>
      <c r="M203" s="130">
        <v>3502.2</v>
      </c>
      <c r="N203" s="130">
        <v>3642.3</v>
      </c>
      <c r="O203" s="130"/>
      <c r="P203" s="130">
        <v>3642.3</v>
      </c>
    </row>
    <row r="204" spans="1:16" x14ac:dyDescent="0.25">
      <c r="A204" s="80"/>
      <c r="B204" s="18" t="s">
        <v>651</v>
      </c>
      <c r="C204" s="86"/>
      <c r="D204" s="85"/>
      <c r="E204" s="87" t="s">
        <v>652</v>
      </c>
      <c r="F204" s="157">
        <f t="shared" ref="F204:L205" si="40">F205</f>
        <v>59296.5</v>
      </c>
      <c r="G204" s="157">
        <f t="shared" si="40"/>
        <v>1729</v>
      </c>
      <c r="H204" s="157">
        <f t="shared" si="40"/>
        <v>59938.5</v>
      </c>
      <c r="I204" s="157">
        <f t="shared" si="40"/>
        <v>-10080.859040000001</v>
      </c>
      <c r="J204" s="157">
        <f t="shared" si="40"/>
        <v>49857.640959999997</v>
      </c>
      <c r="K204" s="157">
        <f t="shared" si="40"/>
        <v>97330.546150000009</v>
      </c>
      <c r="L204" s="157">
        <f t="shared" si="40"/>
        <v>0</v>
      </c>
      <c r="M204" s="157">
        <f t="shared" ref="M204:P205" si="41">M205</f>
        <v>97330.546150000009</v>
      </c>
      <c r="N204" s="157">
        <f t="shared" si="41"/>
        <v>110308.70174999999</v>
      </c>
      <c r="O204" s="157">
        <f t="shared" si="41"/>
        <v>0</v>
      </c>
      <c r="P204" s="157">
        <f t="shared" si="41"/>
        <v>110308.70174999999</v>
      </c>
    </row>
    <row r="205" spans="1:16" ht="26.45" x14ac:dyDescent="0.3">
      <c r="A205" s="80"/>
      <c r="B205" s="18"/>
      <c r="C205" s="86" t="s">
        <v>6</v>
      </c>
      <c r="D205" s="85"/>
      <c r="E205" s="90" t="s">
        <v>7</v>
      </c>
      <c r="F205" s="157">
        <f t="shared" si="40"/>
        <v>59296.5</v>
      </c>
      <c r="G205" s="157">
        <f t="shared" si="40"/>
        <v>1729</v>
      </c>
      <c r="H205" s="157">
        <f t="shared" si="40"/>
        <v>59938.5</v>
      </c>
      <c r="I205" s="157">
        <f t="shared" si="40"/>
        <v>-10080.859040000001</v>
      </c>
      <c r="J205" s="157">
        <f t="shared" si="40"/>
        <v>49857.640959999997</v>
      </c>
      <c r="K205" s="157">
        <f t="shared" si="40"/>
        <v>97330.546150000009</v>
      </c>
      <c r="L205" s="157">
        <f t="shared" si="40"/>
        <v>0</v>
      </c>
      <c r="M205" s="157">
        <f t="shared" si="41"/>
        <v>97330.546150000009</v>
      </c>
      <c r="N205" s="157">
        <f t="shared" si="41"/>
        <v>110308.70174999999</v>
      </c>
      <c r="O205" s="157">
        <f t="shared" si="41"/>
        <v>0</v>
      </c>
      <c r="P205" s="157">
        <f t="shared" si="41"/>
        <v>110308.70174999999</v>
      </c>
    </row>
    <row r="206" spans="1:16" ht="26.45" x14ac:dyDescent="0.3">
      <c r="A206" s="94"/>
      <c r="B206" s="94"/>
      <c r="C206" s="95" t="s">
        <v>412</v>
      </c>
      <c r="D206" s="94"/>
      <c r="E206" s="96" t="s">
        <v>413</v>
      </c>
      <c r="F206" s="138">
        <f t="shared" ref="F206:K206" si="42">F207+F237</f>
        <v>59296.5</v>
      </c>
      <c r="G206" s="138">
        <f t="shared" si="42"/>
        <v>1729</v>
      </c>
      <c r="H206" s="138">
        <f t="shared" si="42"/>
        <v>59938.5</v>
      </c>
      <c r="I206" s="138">
        <f t="shared" si="42"/>
        <v>-10080.859040000001</v>
      </c>
      <c r="J206" s="138">
        <f t="shared" si="42"/>
        <v>49857.640959999997</v>
      </c>
      <c r="K206" s="138">
        <f t="shared" si="42"/>
        <v>97330.546150000009</v>
      </c>
      <c r="L206" s="138">
        <f>L207+L237</f>
        <v>0</v>
      </c>
      <c r="M206" s="138">
        <f>M207+M237</f>
        <v>97330.546150000009</v>
      </c>
      <c r="N206" s="138">
        <f>N207+N237</f>
        <v>110308.70174999999</v>
      </c>
      <c r="O206" s="138">
        <f>O207+O237</f>
        <v>0</v>
      </c>
      <c r="P206" s="138">
        <f>P207+P237</f>
        <v>110308.70174999999</v>
      </c>
    </row>
    <row r="207" spans="1:16" ht="27" x14ac:dyDescent="0.3">
      <c r="A207" s="34"/>
      <c r="B207" s="34"/>
      <c r="C207" s="34" t="s">
        <v>414</v>
      </c>
      <c r="D207" s="34"/>
      <c r="E207" s="35" t="s">
        <v>415</v>
      </c>
      <c r="F207" s="139">
        <f t="shared" ref="F207:J207" si="43">F208+F211+F216+F229</f>
        <v>58746.2</v>
      </c>
      <c r="G207" s="139">
        <f t="shared" si="43"/>
        <v>1729</v>
      </c>
      <c r="H207" s="139">
        <f t="shared" si="43"/>
        <v>59388.2</v>
      </c>
      <c r="I207" s="139">
        <f t="shared" si="43"/>
        <v>-10301.182140000001</v>
      </c>
      <c r="J207" s="139">
        <f t="shared" si="43"/>
        <v>49087.01786</v>
      </c>
      <c r="K207" s="139">
        <f t="shared" ref="K207:P207" si="44">K208+K211+K216+K229+K231</f>
        <v>96758.246150000006</v>
      </c>
      <c r="L207" s="139">
        <f t="shared" si="44"/>
        <v>0</v>
      </c>
      <c r="M207" s="139">
        <f t="shared" si="44"/>
        <v>96758.246150000006</v>
      </c>
      <c r="N207" s="139">
        <f t="shared" si="44"/>
        <v>109713.50175</v>
      </c>
      <c r="O207" s="139">
        <f t="shared" si="44"/>
        <v>0</v>
      </c>
      <c r="P207" s="139">
        <f t="shared" si="44"/>
        <v>109713.50175</v>
      </c>
    </row>
    <row r="208" spans="1:16" ht="14.45" x14ac:dyDescent="0.3">
      <c r="A208" s="36"/>
      <c r="B208" s="36"/>
      <c r="C208" s="36" t="s">
        <v>416</v>
      </c>
      <c r="D208" s="36"/>
      <c r="E208" s="37" t="s">
        <v>417</v>
      </c>
      <c r="F208" s="131">
        <f>F209</f>
        <v>500</v>
      </c>
      <c r="G208" s="131"/>
      <c r="H208" s="131">
        <f>H209</f>
        <v>500</v>
      </c>
      <c r="I208" s="131"/>
      <c r="J208" s="131">
        <f t="shared" ref="J208:P208" si="45">J209</f>
        <v>500</v>
      </c>
      <c r="K208" s="131">
        <f t="shared" si="45"/>
        <v>310.67615000000001</v>
      </c>
      <c r="L208" s="131">
        <f t="shared" si="45"/>
        <v>0</v>
      </c>
      <c r="M208" s="131">
        <f t="shared" si="45"/>
        <v>310.67615000000001</v>
      </c>
      <c r="N208" s="131">
        <f t="shared" si="45"/>
        <v>290.05174999999997</v>
      </c>
      <c r="O208" s="131">
        <f t="shared" si="45"/>
        <v>0</v>
      </c>
      <c r="P208" s="131">
        <f t="shared" si="45"/>
        <v>290.05174999999997</v>
      </c>
    </row>
    <row r="209" spans="1:16" ht="14.45" x14ac:dyDescent="0.3">
      <c r="A209" s="7"/>
      <c r="B209" s="7"/>
      <c r="C209" s="7" t="s">
        <v>418</v>
      </c>
      <c r="D209" s="13"/>
      <c r="E209" s="3" t="s">
        <v>419</v>
      </c>
      <c r="F209" s="130">
        <v>500</v>
      </c>
      <c r="G209" s="130"/>
      <c r="H209" s="130">
        <v>500</v>
      </c>
      <c r="I209" s="130"/>
      <c r="J209" s="130">
        <v>500</v>
      </c>
      <c r="K209" s="130">
        <f t="shared" ref="K209:P209" si="46">K210</f>
        <v>310.67615000000001</v>
      </c>
      <c r="L209" s="130">
        <f t="shared" si="46"/>
        <v>0</v>
      </c>
      <c r="M209" s="130">
        <f t="shared" si="46"/>
        <v>310.67615000000001</v>
      </c>
      <c r="N209" s="130">
        <f t="shared" si="46"/>
        <v>290.05174999999997</v>
      </c>
      <c r="O209" s="130">
        <f t="shared" si="46"/>
        <v>0</v>
      </c>
      <c r="P209" s="130">
        <f t="shared" si="46"/>
        <v>290.05174999999997</v>
      </c>
    </row>
    <row r="210" spans="1:16" ht="27" x14ac:dyDescent="0.3">
      <c r="A210" s="7"/>
      <c r="B210" s="7"/>
      <c r="C210" s="7"/>
      <c r="D210" s="7" t="s">
        <v>336</v>
      </c>
      <c r="E210" s="3" t="s">
        <v>337</v>
      </c>
      <c r="F210" s="130">
        <v>500</v>
      </c>
      <c r="G210" s="130"/>
      <c r="H210" s="130">
        <v>500</v>
      </c>
      <c r="I210" s="130"/>
      <c r="J210" s="130">
        <v>500</v>
      </c>
      <c r="K210" s="130">
        <v>310.67615000000001</v>
      </c>
      <c r="L210" s="130"/>
      <c r="M210" s="130">
        <f>520-209.32385</f>
        <v>310.67615000000001</v>
      </c>
      <c r="N210" s="130">
        <v>290.05174999999997</v>
      </c>
      <c r="O210" s="130"/>
      <c r="P210" s="130">
        <f>540.8-250.74825</f>
        <v>290.05174999999997</v>
      </c>
    </row>
    <row r="211" spans="1:16" ht="14.45" x14ac:dyDescent="0.3">
      <c r="A211" s="36"/>
      <c r="B211" s="36"/>
      <c r="C211" s="36" t="s">
        <v>596</v>
      </c>
      <c r="D211" s="36"/>
      <c r="E211" s="37" t="s">
        <v>420</v>
      </c>
      <c r="F211" s="131">
        <f>F212</f>
        <v>3833.3</v>
      </c>
      <c r="G211" s="131">
        <f>G214</f>
        <v>595</v>
      </c>
      <c r="H211" s="131">
        <f>H212+H214</f>
        <v>4428.3</v>
      </c>
      <c r="I211" s="131"/>
      <c r="J211" s="131">
        <f>J212+J214</f>
        <v>4428.3</v>
      </c>
      <c r="K211" s="131">
        <f>K212</f>
        <v>0</v>
      </c>
      <c r="L211" s="131"/>
      <c r="M211" s="131">
        <f>M212</f>
        <v>0</v>
      </c>
      <c r="N211" s="131">
        <f>N212</f>
        <v>0</v>
      </c>
      <c r="O211" s="131"/>
      <c r="P211" s="131">
        <f>P212</f>
        <v>0</v>
      </c>
    </row>
    <row r="212" spans="1:16" ht="27" x14ac:dyDescent="0.3">
      <c r="A212" s="7"/>
      <c r="B212" s="7"/>
      <c r="C212" s="7" t="s">
        <v>597</v>
      </c>
      <c r="D212" s="13"/>
      <c r="E212" s="3" t="s">
        <v>421</v>
      </c>
      <c r="F212" s="130">
        <v>3833.3</v>
      </c>
      <c r="G212" s="130"/>
      <c r="H212" s="130">
        <v>3833.3</v>
      </c>
      <c r="I212" s="130"/>
      <c r="J212" s="130">
        <v>3833.3</v>
      </c>
      <c r="K212" s="130">
        <v>0</v>
      </c>
      <c r="L212" s="130"/>
      <c r="M212" s="130">
        <v>0</v>
      </c>
      <c r="N212" s="130">
        <v>0</v>
      </c>
      <c r="O212" s="130"/>
      <c r="P212" s="130">
        <v>0</v>
      </c>
    </row>
    <row r="213" spans="1:16" ht="27" x14ac:dyDescent="0.3">
      <c r="A213" s="7"/>
      <c r="B213" s="7"/>
      <c r="C213" s="7"/>
      <c r="D213" s="7" t="s">
        <v>336</v>
      </c>
      <c r="E213" s="3" t="s">
        <v>337</v>
      </c>
      <c r="F213" s="130">
        <v>3833.3</v>
      </c>
      <c r="G213" s="130"/>
      <c r="H213" s="130">
        <v>3833.3</v>
      </c>
      <c r="I213" s="130"/>
      <c r="J213" s="130">
        <v>3833.3</v>
      </c>
      <c r="K213" s="130">
        <v>0</v>
      </c>
      <c r="L213" s="130"/>
      <c r="M213" s="130">
        <v>0</v>
      </c>
      <c r="N213" s="130">
        <v>0</v>
      </c>
      <c r="O213" s="130"/>
      <c r="P213" s="130">
        <v>0</v>
      </c>
    </row>
    <row r="214" spans="1:16" ht="39" x14ac:dyDescent="0.25">
      <c r="A214" s="7"/>
      <c r="B214" s="7"/>
      <c r="C214" s="7" t="s">
        <v>772</v>
      </c>
      <c r="D214" s="7"/>
      <c r="E214" s="3" t="s">
        <v>771</v>
      </c>
      <c r="F214" s="130"/>
      <c r="G214" s="146">
        <v>595</v>
      </c>
      <c r="H214" s="130">
        <v>595</v>
      </c>
      <c r="I214" s="130"/>
      <c r="J214" s="130">
        <v>595</v>
      </c>
      <c r="K214" s="130"/>
      <c r="L214" s="130"/>
      <c r="M214" s="130">
        <v>0</v>
      </c>
      <c r="N214" s="130"/>
      <c r="O214" s="130"/>
      <c r="P214" s="130">
        <v>0</v>
      </c>
    </row>
    <row r="215" spans="1:16" ht="26.25" x14ac:dyDescent="0.25">
      <c r="A215" s="7"/>
      <c r="B215" s="7"/>
      <c r="C215" s="7"/>
      <c r="D215" s="7" t="s">
        <v>336</v>
      </c>
      <c r="E215" s="3" t="s">
        <v>337</v>
      </c>
      <c r="F215" s="130"/>
      <c r="G215" s="146">
        <v>595</v>
      </c>
      <c r="H215" s="130">
        <v>595</v>
      </c>
      <c r="I215" s="130"/>
      <c r="J215" s="130">
        <v>595</v>
      </c>
      <c r="K215" s="130"/>
      <c r="L215" s="130"/>
      <c r="M215" s="130">
        <v>0</v>
      </c>
      <c r="N215" s="130"/>
      <c r="O215" s="130"/>
      <c r="P215" s="130">
        <v>0</v>
      </c>
    </row>
    <row r="216" spans="1:16" ht="27" x14ac:dyDescent="0.3">
      <c r="A216" s="36"/>
      <c r="B216" s="36"/>
      <c r="C216" s="36" t="s">
        <v>422</v>
      </c>
      <c r="D216" s="36"/>
      <c r="E216" s="37" t="s">
        <v>423</v>
      </c>
      <c r="F216" s="131">
        <f>F217+F221+F223</f>
        <v>27098.6</v>
      </c>
      <c r="G216" s="131">
        <f>G217+G221+G223+G227+G225</f>
        <v>1134</v>
      </c>
      <c r="H216" s="131">
        <f>H217+H221+H223+H227+H225</f>
        <v>28232.6</v>
      </c>
      <c r="I216" s="131">
        <f>I217+I221+I223+I227+I225</f>
        <v>-10301.182140000001</v>
      </c>
      <c r="J216" s="131">
        <f>J217+J221+J223+J227+J225</f>
        <v>17931.417860000001</v>
      </c>
      <c r="K216" s="131">
        <f>K217+K221+K223</f>
        <v>32374.899999999998</v>
      </c>
      <c r="L216" s="131">
        <f>L223</f>
        <v>0</v>
      </c>
      <c r="M216" s="131">
        <f>M217+M221+M223</f>
        <v>32374.899999999998</v>
      </c>
      <c r="N216" s="131">
        <f>N217+N221+N223</f>
        <v>29730.7</v>
      </c>
      <c r="O216" s="131">
        <f>O217+O221+O223</f>
        <v>0</v>
      </c>
      <c r="P216" s="131">
        <f>P217+P221+P223</f>
        <v>29730.7</v>
      </c>
    </row>
    <row r="217" spans="1:16" ht="14.45" x14ac:dyDescent="0.3">
      <c r="A217" s="7"/>
      <c r="B217" s="7"/>
      <c r="C217" s="7" t="s">
        <v>424</v>
      </c>
      <c r="D217" s="13"/>
      <c r="E217" s="3" t="s">
        <v>425</v>
      </c>
      <c r="F217" s="130">
        <f>F219+F220</f>
        <v>20083.900000000001</v>
      </c>
      <c r="G217" s="130"/>
      <c r="H217" s="130">
        <f>H219+H220</f>
        <v>20083.900000000001</v>
      </c>
      <c r="I217" s="130">
        <f>I219+I220</f>
        <v>-11200.95448</v>
      </c>
      <c r="J217" s="130">
        <f>J219+J220</f>
        <v>8882.9455200000011</v>
      </c>
      <c r="K217" s="130">
        <f>K219+K220</f>
        <v>29008.6</v>
      </c>
      <c r="L217" s="130"/>
      <c r="M217" s="130">
        <f>M219+M220</f>
        <v>29008.6</v>
      </c>
      <c r="N217" s="130">
        <f>N219+N220</f>
        <v>28846.3</v>
      </c>
      <c r="O217" s="130"/>
      <c r="P217" s="130">
        <f>P219+P220</f>
        <v>28846.3</v>
      </c>
    </row>
    <row r="218" spans="1:16" ht="27" x14ac:dyDescent="0.3">
      <c r="A218" s="7"/>
      <c r="B218" s="7"/>
      <c r="C218" s="7"/>
      <c r="D218" s="7" t="s">
        <v>336</v>
      </c>
      <c r="E218" s="3" t="s">
        <v>337</v>
      </c>
      <c r="F218" s="130">
        <f>SUM(F219+F220)</f>
        <v>20083.900000000001</v>
      </c>
      <c r="G218" s="130"/>
      <c r="H218" s="130">
        <f>SUM(H219+H220)</f>
        <v>20083.900000000001</v>
      </c>
      <c r="I218" s="130">
        <f>SUM(I219+I220)</f>
        <v>-11200.95448</v>
      </c>
      <c r="J218" s="130">
        <f>SUM(J219+J220)</f>
        <v>8882.9455200000011</v>
      </c>
      <c r="K218" s="130">
        <v>29008.6</v>
      </c>
      <c r="L218" s="130"/>
      <c r="M218" s="130">
        <v>29008.6</v>
      </c>
      <c r="N218" s="130">
        <v>28846.3</v>
      </c>
      <c r="O218" s="130"/>
      <c r="P218" s="130">
        <v>28846.3</v>
      </c>
    </row>
    <row r="219" spans="1:16" ht="14.45" x14ac:dyDescent="0.3">
      <c r="A219" s="7"/>
      <c r="B219" s="7"/>
      <c r="C219" s="7"/>
      <c r="D219" s="7"/>
      <c r="E219" s="3" t="s">
        <v>95</v>
      </c>
      <c r="F219" s="130">
        <v>18075.5</v>
      </c>
      <c r="G219" s="130"/>
      <c r="H219" s="130">
        <v>18075.5</v>
      </c>
      <c r="I219" s="130">
        <f>1671.44125-11752.30029</f>
        <v>-10080.859039999999</v>
      </c>
      <c r="J219" s="130">
        <f>SUM(H219:I219)</f>
        <v>7994.6409600000006</v>
      </c>
      <c r="K219" s="130">
        <v>26107.599999999999</v>
      </c>
      <c r="L219" s="130"/>
      <c r="M219" s="130">
        <v>26107.599999999999</v>
      </c>
      <c r="N219" s="130">
        <v>25961.7</v>
      </c>
      <c r="O219" s="130"/>
      <c r="P219" s="130">
        <v>25961.7</v>
      </c>
    </row>
    <row r="220" spans="1:16" ht="14.45" x14ac:dyDescent="0.3">
      <c r="A220" s="7"/>
      <c r="B220" s="7"/>
      <c r="C220" s="7"/>
      <c r="D220" s="7"/>
      <c r="E220" s="3" t="s">
        <v>171</v>
      </c>
      <c r="F220" s="130">
        <v>2008.4</v>
      </c>
      <c r="G220" s="130"/>
      <c r="H220" s="130">
        <v>2008.4</v>
      </c>
      <c r="I220" s="130">
        <f>-124.54235-575.22999-160.3231-60-200</f>
        <v>-1120.0954400000001</v>
      </c>
      <c r="J220" s="130">
        <f>SUM(H220:I220)</f>
        <v>888.30456000000004</v>
      </c>
      <c r="K220" s="130">
        <v>2901</v>
      </c>
      <c r="L220" s="130"/>
      <c r="M220" s="130">
        <v>2901</v>
      </c>
      <c r="N220" s="130">
        <v>2884.6</v>
      </c>
      <c r="O220" s="130"/>
      <c r="P220" s="130">
        <v>2884.6</v>
      </c>
    </row>
    <row r="221" spans="1:16" ht="20.25" customHeight="1" x14ac:dyDescent="0.3">
      <c r="A221" s="7"/>
      <c r="B221" s="7"/>
      <c r="C221" s="7" t="s">
        <v>594</v>
      </c>
      <c r="D221" s="13"/>
      <c r="E221" s="3" t="s">
        <v>611</v>
      </c>
      <c r="F221" s="130">
        <f>F222</f>
        <v>2913.3</v>
      </c>
      <c r="G221" s="130"/>
      <c r="H221" s="130">
        <f>H222</f>
        <v>2913.3</v>
      </c>
      <c r="I221" s="130">
        <f>I222</f>
        <v>654.58646999999996</v>
      </c>
      <c r="J221" s="130">
        <f>J222</f>
        <v>3567.8864700000004</v>
      </c>
      <c r="K221" s="130">
        <f>K222</f>
        <v>0</v>
      </c>
      <c r="L221" s="130"/>
      <c r="M221" s="130">
        <f>M222</f>
        <v>0</v>
      </c>
      <c r="N221" s="130">
        <f>N222</f>
        <v>0</v>
      </c>
      <c r="O221" s="130"/>
      <c r="P221" s="130">
        <f>P222</f>
        <v>0</v>
      </c>
    </row>
    <row r="222" spans="1:16" ht="27" x14ac:dyDescent="0.3">
      <c r="A222" s="7"/>
      <c r="B222" s="7"/>
      <c r="C222" s="7"/>
      <c r="D222" s="7" t="s">
        <v>336</v>
      </c>
      <c r="E222" s="3" t="s">
        <v>337</v>
      </c>
      <c r="F222" s="130">
        <v>2913.3</v>
      </c>
      <c r="G222" s="130"/>
      <c r="H222" s="130">
        <v>2913.3</v>
      </c>
      <c r="I222" s="130">
        <f>124.54235+575.22999-45.18587</f>
        <v>654.58646999999996</v>
      </c>
      <c r="J222" s="130">
        <f>SUM(H222:I222)</f>
        <v>3567.8864700000004</v>
      </c>
      <c r="K222" s="130">
        <v>0</v>
      </c>
      <c r="L222" s="130"/>
      <c r="M222" s="130">
        <v>0</v>
      </c>
      <c r="N222" s="130">
        <v>0</v>
      </c>
      <c r="O222" s="130"/>
      <c r="P222" s="130">
        <v>0</v>
      </c>
    </row>
    <row r="223" spans="1:16" ht="14.45" x14ac:dyDescent="0.3">
      <c r="A223" s="7"/>
      <c r="B223" s="7"/>
      <c r="C223" s="7" t="s">
        <v>426</v>
      </c>
      <c r="D223" s="13"/>
      <c r="E223" s="3" t="s">
        <v>595</v>
      </c>
      <c r="F223" s="130">
        <v>4101.3999999999996</v>
      </c>
      <c r="G223" s="130"/>
      <c r="H223" s="130">
        <v>4101.3999999999996</v>
      </c>
      <c r="I223" s="130">
        <f>I224</f>
        <v>245.18586999999999</v>
      </c>
      <c r="J223" s="130">
        <f>J224</f>
        <v>4346.5858699999999</v>
      </c>
      <c r="K223" s="130">
        <v>3366.3</v>
      </c>
      <c r="L223" s="130">
        <f>L224</f>
        <v>0</v>
      </c>
      <c r="M223" s="130">
        <f>SUM(K223:L223)</f>
        <v>3366.3</v>
      </c>
      <c r="N223" s="130">
        <v>884.4</v>
      </c>
      <c r="O223" s="130">
        <f>O224</f>
        <v>0</v>
      </c>
      <c r="P223" s="130">
        <f>P224</f>
        <v>884.4</v>
      </c>
    </row>
    <row r="224" spans="1:16" ht="27" x14ac:dyDescent="0.3">
      <c r="A224" s="4"/>
      <c r="B224" s="4"/>
      <c r="C224" s="4"/>
      <c r="D224" s="7" t="s">
        <v>336</v>
      </c>
      <c r="E224" s="3" t="s">
        <v>337</v>
      </c>
      <c r="F224" s="130">
        <v>4101.3999999999996</v>
      </c>
      <c r="G224" s="130"/>
      <c r="H224" s="130">
        <v>4101.3999999999996</v>
      </c>
      <c r="I224" s="130">
        <f>45.18587+200</f>
        <v>245.18586999999999</v>
      </c>
      <c r="J224" s="130">
        <f>SUM(H224:I224)</f>
        <v>4346.5858699999999</v>
      </c>
      <c r="K224" s="130">
        <v>3366.3</v>
      </c>
      <c r="L224" s="130">
        <v>0</v>
      </c>
      <c r="M224" s="130">
        <f>SUM(K224:L224)</f>
        <v>3366.3</v>
      </c>
      <c r="N224" s="130">
        <v>884.4</v>
      </c>
      <c r="O224" s="130">
        <v>0</v>
      </c>
      <c r="P224" s="130">
        <f>SUM(N224:O224)</f>
        <v>884.4</v>
      </c>
    </row>
    <row r="225" spans="1:16" ht="25.5" x14ac:dyDescent="0.25">
      <c r="A225" s="4"/>
      <c r="B225" s="4"/>
      <c r="C225" s="4" t="s">
        <v>427</v>
      </c>
      <c r="D225" s="4"/>
      <c r="E225" s="6" t="s">
        <v>428</v>
      </c>
      <c r="F225" s="130"/>
      <c r="G225" s="146">
        <f>G226</f>
        <v>315</v>
      </c>
      <c r="H225" s="130">
        <f>H226</f>
        <v>315</v>
      </c>
      <c r="I225" s="130"/>
      <c r="J225" s="130">
        <f>J226</f>
        <v>315</v>
      </c>
      <c r="K225" s="130"/>
      <c r="L225" s="130"/>
      <c r="M225" s="130">
        <v>0</v>
      </c>
      <c r="N225" s="130"/>
      <c r="O225" s="130"/>
      <c r="P225" s="130">
        <v>0</v>
      </c>
    </row>
    <row r="226" spans="1:16" ht="25.5" x14ac:dyDescent="0.25">
      <c r="A226" s="4"/>
      <c r="B226" s="4"/>
      <c r="C226" s="4"/>
      <c r="D226" s="4" t="s">
        <v>336</v>
      </c>
      <c r="E226" s="6" t="s">
        <v>337</v>
      </c>
      <c r="F226" s="130"/>
      <c r="G226" s="146">
        <v>315</v>
      </c>
      <c r="H226" s="130">
        <v>315</v>
      </c>
      <c r="I226" s="130"/>
      <c r="J226" s="130">
        <v>315</v>
      </c>
      <c r="K226" s="130"/>
      <c r="L226" s="130"/>
      <c r="M226" s="130">
        <v>0</v>
      </c>
      <c r="N226" s="130"/>
      <c r="O226" s="130"/>
      <c r="P226" s="130">
        <v>0</v>
      </c>
    </row>
    <row r="227" spans="1:16" ht="38.25" x14ac:dyDescent="0.25">
      <c r="A227" s="4"/>
      <c r="B227" s="4"/>
      <c r="C227" s="4" t="s">
        <v>773</v>
      </c>
      <c r="D227" s="4"/>
      <c r="E227" s="6" t="s">
        <v>774</v>
      </c>
      <c r="F227" s="130"/>
      <c r="G227" s="146">
        <v>819</v>
      </c>
      <c r="H227" s="130">
        <v>819</v>
      </c>
      <c r="I227" s="130"/>
      <c r="J227" s="130">
        <v>819</v>
      </c>
      <c r="K227" s="130"/>
      <c r="L227" s="130"/>
      <c r="M227" s="130">
        <v>0</v>
      </c>
      <c r="N227" s="130"/>
      <c r="O227" s="130"/>
      <c r="P227" s="130">
        <v>0</v>
      </c>
    </row>
    <row r="228" spans="1:16" ht="25.5" x14ac:dyDescent="0.25">
      <c r="A228" s="4"/>
      <c r="B228" s="4"/>
      <c r="C228" s="4"/>
      <c r="D228" s="4" t="s">
        <v>336</v>
      </c>
      <c r="E228" s="6" t="s">
        <v>337</v>
      </c>
      <c r="F228" s="130"/>
      <c r="G228" s="146">
        <v>819</v>
      </c>
      <c r="H228" s="130">
        <v>819</v>
      </c>
      <c r="I228" s="130"/>
      <c r="J228" s="130">
        <v>819</v>
      </c>
      <c r="K228" s="130"/>
      <c r="L228" s="130"/>
      <c r="M228" s="130">
        <v>0</v>
      </c>
      <c r="N228" s="130"/>
      <c r="O228" s="130"/>
      <c r="P228" s="130">
        <v>0</v>
      </c>
    </row>
    <row r="229" spans="1:16" ht="14.45" x14ac:dyDescent="0.3">
      <c r="A229" s="36"/>
      <c r="B229" s="36"/>
      <c r="C229" s="36" t="s">
        <v>429</v>
      </c>
      <c r="D229" s="36"/>
      <c r="E229" s="37" t="s">
        <v>430</v>
      </c>
      <c r="F229" s="131">
        <f>F230</f>
        <v>27314.3</v>
      </c>
      <c r="G229" s="131"/>
      <c r="H229" s="131">
        <f t="shared" ref="H229:N229" si="47">H230</f>
        <v>26227.3</v>
      </c>
      <c r="I229" s="131">
        <f t="shared" si="47"/>
        <v>0</v>
      </c>
      <c r="J229" s="131">
        <f t="shared" si="47"/>
        <v>26227.3</v>
      </c>
      <c r="K229" s="131">
        <f t="shared" si="47"/>
        <v>22207.9</v>
      </c>
      <c r="L229" s="131">
        <f t="shared" si="47"/>
        <v>0</v>
      </c>
      <c r="M229" s="131">
        <f t="shared" si="47"/>
        <v>22207.9</v>
      </c>
      <c r="N229" s="131">
        <f t="shared" si="47"/>
        <v>29543.1</v>
      </c>
      <c r="O229" s="131"/>
      <c r="P229" s="131">
        <f>P230</f>
        <v>29543.1</v>
      </c>
    </row>
    <row r="230" spans="1:16" ht="14.45" x14ac:dyDescent="0.3">
      <c r="A230" s="7"/>
      <c r="B230" s="7"/>
      <c r="C230" s="7" t="s">
        <v>431</v>
      </c>
      <c r="D230" s="13"/>
      <c r="E230" s="3" t="s">
        <v>432</v>
      </c>
      <c r="F230" s="130">
        <v>27314.3</v>
      </c>
      <c r="G230" s="130"/>
      <c r="H230" s="130">
        <v>26227.3</v>
      </c>
      <c r="I230" s="146"/>
      <c r="J230" s="130">
        <f>H230+I230</f>
        <v>26227.3</v>
      </c>
      <c r="K230" s="130">
        <v>22207.9</v>
      </c>
      <c r="L230" s="130"/>
      <c r="M230" s="130">
        <f>28406.9-6199</f>
        <v>22207.9</v>
      </c>
      <c r="N230" s="130">
        <v>29543.1</v>
      </c>
      <c r="O230" s="130"/>
      <c r="P230" s="130">
        <v>29543.1</v>
      </c>
    </row>
    <row r="231" spans="1:16" ht="31.5" customHeight="1" x14ac:dyDescent="0.25">
      <c r="A231" s="36"/>
      <c r="B231" s="36"/>
      <c r="C231" s="36" t="s">
        <v>824</v>
      </c>
      <c r="D231" s="36"/>
      <c r="E231" s="37" t="s">
        <v>825</v>
      </c>
      <c r="F231" s="131"/>
      <c r="G231" s="131"/>
      <c r="H231" s="131"/>
      <c r="I231" s="131"/>
      <c r="J231" s="131">
        <v>0</v>
      </c>
      <c r="K231" s="131">
        <f>K232</f>
        <v>41864.770000000004</v>
      </c>
      <c r="L231" s="131"/>
      <c r="M231" s="131">
        <f>M232</f>
        <v>41864.770000000004</v>
      </c>
      <c r="N231" s="131">
        <f>N232</f>
        <v>50149.65</v>
      </c>
      <c r="O231" s="131"/>
      <c r="P231" s="131">
        <f>P232</f>
        <v>50149.65</v>
      </c>
    </row>
    <row r="232" spans="1:16" ht="26.25" x14ac:dyDescent="0.25">
      <c r="A232" s="7"/>
      <c r="B232" s="7"/>
      <c r="C232" s="7" t="s">
        <v>827</v>
      </c>
      <c r="D232" s="7"/>
      <c r="E232" s="3" t="s">
        <v>826</v>
      </c>
      <c r="F232" s="130"/>
      <c r="G232" s="130"/>
      <c r="H232" s="130"/>
      <c r="I232" s="146"/>
      <c r="J232" s="130">
        <v>0</v>
      </c>
      <c r="K232" s="130">
        <f>K233</f>
        <v>41864.770000000004</v>
      </c>
      <c r="L232" s="130"/>
      <c r="M232" s="130">
        <f>M233</f>
        <v>41864.770000000004</v>
      </c>
      <c r="N232" s="130">
        <f>N233</f>
        <v>50149.65</v>
      </c>
      <c r="O232" s="130"/>
      <c r="P232" s="130">
        <f>P233</f>
        <v>50149.65</v>
      </c>
    </row>
    <row r="233" spans="1:16" ht="26.25" x14ac:dyDescent="0.25">
      <c r="A233" s="7"/>
      <c r="B233" s="7"/>
      <c r="C233" s="7"/>
      <c r="D233" s="7" t="s">
        <v>336</v>
      </c>
      <c r="E233" s="3" t="s">
        <v>337</v>
      </c>
      <c r="F233" s="130"/>
      <c r="G233" s="130"/>
      <c r="H233" s="130"/>
      <c r="I233" s="146"/>
      <c r="J233" s="130">
        <v>0</v>
      </c>
      <c r="K233" s="130">
        <f>K234+K235+K236</f>
        <v>41864.770000000004</v>
      </c>
      <c r="L233" s="130"/>
      <c r="M233" s="130">
        <f>M234+M235+M236</f>
        <v>41864.770000000004</v>
      </c>
      <c r="N233" s="130">
        <f>N234+N235+N236</f>
        <v>50149.65</v>
      </c>
      <c r="O233" s="130"/>
      <c r="P233" s="130">
        <f>P234+P235+P236</f>
        <v>50149.65</v>
      </c>
    </row>
    <row r="234" spans="1:16" x14ac:dyDescent="0.25">
      <c r="A234" s="7"/>
      <c r="B234" s="7"/>
      <c r="C234" s="7"/>
      <c r="D234" s="7"/>
      <c r="E234" s="3" t="s">
        <v>222</v>
      </c>
      <c r="F234" s="130"/>
      <c r="G234" s="130"/>
      <c r="H234" s="130"/>
      <c r="I234" s="146"/>
      <c r="J234" s="130">
        <v>0</v>
      </c>
      <c r="K234" s="130">
        <v>39572.673840000003</v>
      </c>
      <c r="L234" s="130"/>
      <c r="M234" s="130">
        <v>39572.673840000003</v>
      </c>
      <c r="N234" s="130">
        <v>47403.956680000003</v>
      </c>
      <c r="O234" s="130"/>
      <c r="P234" s="130">
        <v>47403.956680000003</v>
      </c>
    </row>
    <row r="235" spans="1:16" x14ac:dyDescent="0.25">
      <c r="A235" s="7"/>
      <c r="B235" s="7"/>
      <c r="C235" s="7"/>
      <c r="D235" s="7"/>
      <c r="E235" s="3" t="s">
        <v>219</v>
      </c>
      <c r="F235" s="130"/>
      <c r="G235" s="130"/>
      <c r="H235" s="130"/>
      <c r="I235" s="146"/>
      <c r="J235" s="130">
        <v>0</v>
      </c>
      <c r="K235" s="130">
        <v>2082.7723099999998</v>
      </c>
      <c r="L235" s="130"/>
      <c r="M235" s="130">
        <v>2082.7723099999998</v>
      </c>
      <c r="N235" s="130">
        <v>2494.9450700000002</v>
      </c>
      <c r="O235" s="130"/>
      <c r="P235" s="130">
        <v>2494.9450700000002</v>
      </c>
    </row>
    <row r="236" spans="1:16" x14ac:dyDescent="0.25">
      <c r="A236" s="7"/>
      <c r="B236" s="7"/>
      <c r="C236" s="7"/>
      <c r="D236" s="7"/>
      <c r="E236" s="3" t="s">
        <v>171</v>
      </c>
      <c r="F236" s="130"/>
      <c r="G236" s="130"/>
      <c r="H236" s="130"/>
      <c r="I236" s="146"/>
      <c r="J236" s="130">
        <v>0</v>
      </c>
      <c r="K236" s="130">
        <v>209.32384999999999</v>
      </c>
      <c r="L236" s="130"/>
      <c r="M236" s="130">
        <v>209.32384999999999</v>
      </c>
      <c r="N236" s="130">
        <v>250.74825000000001</v>
      </c>
      <c r="O236" s="130"/>
      <c r="P236" s="130">
        <v>250.74825000000001</v>
      </c>
    </row>
    <row r="237" spans="1:16" ht="40.15" x14ac:dyDescent="0.3">
      <c r="A237" s="34"/>
      <c r="B237" s="34"/>
      <c r="C237" s="34" t="s">
        <v>439</v>
      </c>
      <c r="D237" s="34"/>
      <c r="E237" s="35" t="s">
        <v>440</v>
      </c>
      <c r="F237" s="139">
        <f t="shared" ref="F237:P239" si="48">F238</f>
        <v>550.30000000000018</v>
      </c>
      <c r="G237" s="139"/>
      <c r="H237" s="139">
        <f t="shared" si="48"/>
        <v>550.30000000000018</v>
      </c>
      <c r="I237" s="139">
        <f t="shared" si="48"/>
        <v>220.32310000000001</v>
      </c>
      <c r="J237" s="139">
        <f t="shared" si="48"/>
        <v>770.62310000000025</v>
      </c>
      <c r="K237" s="139">
        <f t="shared" si="48"/>
        <v>572.29999999999995</v>
      </c>
      <c r="L237" s="139"/>
      <c r="M237" s="139">
        <f t="shared" si="48"/>
        <v>572.29999999999995</v>
      </c>
      <c r="N237" s="139">
        <f t="shared" si="48"/>
        <v>595.20000000000005</v>
      </c>
      <c r="O237" s="139"/>
      <c r="P237" s="139">
        <f t="shared" si="48"/>
        <v>595.20000000000005</v>
      </c>
    </row>
    <row r="238" spans="1:16" ht="40.15" x14ac:dyDescent="0.3">
      <c r="A238" s="36"/>
      <c r="B238" s="36"/>
      <c r="C238" s="36" t="s">
        <v>441</v>
      </c>
      <c r="D238" s="36"/>
      <c r="E238" s="67" t="s">
        <v>442</v>
      </c>
      <c r="F238" s="131">
        <f t="shared" si="48"/>
        <v>550.30000000000018</v>
      </c>
      <c r="G238" s="131"/>
      <c r="H238" s="131">
        <f t="shared" si="48"/>
        <v>550.30000000000018</v>
      </c>
      <c r="I238" s="131">
        <f t="shared" si="48"/>
        <v>220.32310000000001</v>
      </c>
      <c r="J238" s="131">
        <f t="shared" si="48"/>
        <v>770.62310000000025</v>
      </c>
      <c r="K238" s="131">
        <f t="shared" si="48"/>
        <v>572.29999999999995</v>
      </c>
      <c r="L238" s="131"/>
      <c r="M238" s="131">
        <f t="shared" si="48"/>
        <v>572.29999999999995</v>
      </c>
      <c r="N238" s="131">
        <f t="shared" si="48"/>
        <v>595.20000000000005</v>
      </c>
      <c r="O238" s="131"/>
      <c r="P238" s="131">
        <f t="shared" si="48"/>
        <v>595.20000000000005</v>
      </c>
    </row>
    <row r="239" spans="1:16" ht="27" x14ac:dyDescent="0.3">
      <c r="A239" s="81"/>
      <c r="B239" s="81"/>
      <c r="C239" s="7" t="s">
        <v>443</v>
      </c>
      <c r="D239" s="7"/>
      <c r="E239" s="10" t="s">
        <v>598</v>
      </c>
      <c r="F239" s="130">
        <f>F240</f>
        <v>550.30000000000018</v>
      </c>
      <c r="G239" s="130"/>
      <c r="H239" s="130">
        <f>H240</f>
        <v>550.30000000000018</v>
      </c>
      <c r="I239" s="130">
        <f>I240</f>
        <v>220.32310000000001</v>
      </c>
      <c r="J239" s="130">
        <f>J240</f>
        <v>770.62310000000025</v>
      </c>
      <c r="K239" s="130">
        <f t="shared" si="48"/>
        <v>572.29999999999995</v>
      </c>
      <c r="L239" s="130"/>
      <c r="M239" s="130">
        <f t="shared" si="48"/>
        <v>572.29999999999995</v>
      </c>
      <c r="N239" s="130">
        <f t="shared" si="48"/>
        <v>595.20000000000005</v>
      </c>
      <c r="O239" s="130"/>
      <c r="P239" s="130">
        <f t="shared" si="48"/>
        <v>595.20000000000005</v>
      </c>
    </row>
    <row r="240" spans="1:16" ht="27" x14ac:dyDescent="0.3">
      <c r="A240" s="81"/>
      <c r="B240" s="81"/>
      <c r="C240" s="7"/>
      <c r="D240" s="7" t="s">
        <v>336</v>
      </c>
      <c r="E240" s="3" t="s">
        <v>337</v>
      </c>
      <c r="F240" s="130">
        <f>1848.9-1298.6</f>
        <v>550.30000000000018</v>
      </c>
      <c r="G240" s="130"/>
      <c r="H240" s="130">
        <f>1848.9-1298.6</f>
        <v>550.30000000000018</v>
      </c>
      <c r="I240" s="130">
        <f>60+160.3231</f>
        <v>220.32310000000001</v>
      </c>
      <c r="J240" s="130">
        <f>SUM(H240+I240)</f>
        <v>770.62310000000025</v>
      </c>
      <c r="K240" s="130">
        <v>572.29999999999995</v>
      </c>
      <c r="L240" s="130"/>
      <c r="M240" s="130">
        <v>572.29999999999995</v>
      </c>
      <c r="N240" s="130">
        <v>595.20000000000005</v>
      </c>
      <c r="O240" s="130"/>
      <c r="P240" s="130">
        <v>595.20000000000005</v>
      </c>
    </row>
    <row r="241" spans="1:16" ht="14.45" x14ac:dyDescent="0.3">
      <c r="A241" s="81"/>
      <c r="B241" s="18" t="s">
        <v>653</v>
      </c>
      <c r="C241" s="91"/>
      <c r="D241" s="80"/>
      <c r="E241" s="87" t="s">
        <v>654</v>
      </c>
      <c r="F241" s="137">
        <f t="shared" ref="F241:O241" si="49">F242+F272</f>
        <v>8548.862000000001</v>
      </c>
      <c r="G241" s="137">
        <f t="shared" si="49"/>
        <v>402.5</v>
      </c>
      <c r="H241" s="137">
        <f t="shared" si="49"/>
        <v>8410.0619999999999</v>
      </c>
      <c r="I241" s="137">
        <f t="shared" si="49"/>
        <v>0</v>
      </c>
      <c r="J241" s="137">
        <f t="shared" si="49"/>
        <v>8410.0619999999999</v>
      </c>
      <c r="K241" s="137">
        <f t="shared" si="49"/>
        <v>5481.3</v>
      </c>
      <c r="L241" s="137">
        <f t="shared" ref="L241" si="50">L242+L272</f>
        <v>0</v>
      </c>
      <c r="M241" s="137">
        <f t="shared" si="49"/>
        <v>5481.3</v>
      </c>
      <c r="N241" s="137">
        <f t="shared" si="49"/>
        <v>5263.7000000000007</v>
      </c>
      <c r="O241" s="137">
        <f t="shared" si="49"/>
        <v>0</v>
      </c>
      <c r="P241" s="137">
        <f>P242+P272</f>
        <v>5263.7000000000007</v>
      </c>
    </row>
    <row r="242" spans="1:16" ht="26.45" x14ac:dyDescent="0.3">
      <c r="A242" s="81"/>
      <c r="B242" s="18"/>
      <c r="C242" s="86" t="s">
        <v>6</v>
      </c>
      <c r="D242" s="85"/>
      <c r="E242" s="90" t="s">
        <v>7</v>
      </c>
      <c r="F242" s="137">
        <f t="shared" ref="F242:N242" si="51">F243+F250+F255</f>
        <v>5654.362000000001</v>
      </c>
      <c r="G242" s="137">
        <f t="shared" si="51"/>
        <v>402.5</v>
      </c>
      <c r="H242" s="137">
        <f t="shared" si="51"/>
        <v>5435.2620000000006</v>
      </c>
      <c r="I242" s="137">
        <f t="shared" si="51"/>
        <v>0</v>
      </c>
      <c r="J242" s="137">
        <f t="shared" si="51"/>
        <v>5435.2620000000006</v>
      </c>
      <c r="K242" s="137">
        <f t="shared" si="51"/>
        <v>2359</v>
      </c>
      <c r="L242" s="137">
        <f t="shared" ref="L242" si="52">L243+L250+L255</f>
        <v>0</v>
      </c>
      <c r="M242" s="137">
        <f>M243+M250+M255</f>
        <v>2359</v>
      </c>
      <c r="N242" s="137">
        <f t="shared" si="51"/>
        <v>2141.4</v>
      </c>
      <c r="O242" s="137"/>
      <c r="P242" s="137">
        <f>P243+P250+P255</f>
        <v>2141.4</v>
      </c>
    </row>
    <row r="243" spans="1:16" s="54" customFormat="1" ht="39.6" x14ac:dyDescent="0.3">
      <c r="A243" s="94"/>
      <c r="B243" s="94"/>
      <c r="C243" s="95" t="s">
        <v>237</v>
      </c>
      <c r="D243" s="94"/>
      <c r="E243" s="96" t="s">
        <v>238</v>
      </c>
      <c r="F243" s="138">
        <f t="shared" ref="F243:P244" si="53">F244</f>
        <v>946.2</v>
      </c>
      <c r="G243" s="138">
        <f t="shared" si="53"/>
        <v>312</v>
      </c>
      <c r="H243" s="138">
        <f t="shared" si="53"/>
        <v>1258.2</v>
      </c>
      <c r="I243" s="138"/>
      <c r="J243" s="138">
        <f t="shared" si="53"/>
        <v>1258.2</v>
      </c>
      <c r="K243" s="138">
        <f t="shared" si="53"/>
        <v>984</v>
      </c>
      <c r="L243" s="138"/>
      <c r="M243" s="138">
        <f t="shared" si="53"/>
        <v>984</v>
      </c>
      <c r="N243" s="138">
        <f t="shared" si="53"/>
        <v>1023.4</v>
      </c>
      <c r="O243" s="138"/>
      <c r="P243" s="138">
        <f t="shared" si="53"/>
        <v>1023.4</v>
      </c>
    </row>
    <row r="244" spans="1:16" ht="27" x14ac:dyDescent="0.3">
      <c r="A244" s="36"/>
      <c r="B244" s="36"/>
      <c r="C244" s="36" t="s">
        <v>239</v>
      </c>
      <c r="D244" s="36"/>
      <c r="E244" s="37" t="s">
        <v>240</v>
      </c>
      <c r="F244" s="131">
        <f>F245+F248</f>
        <v>946.2</v>
      </c>
      <c r="G244" s="131">
        <f>G245+G248</f>
        <v>312</v>
      </c>
      <c r="H244" s="131">
        <f>H245+H248</f>
        <v>1258.2</v>
      </c>
      <c r="I244" s="131"/>
      <c r="J244" s="131">
        <f>J245+J248</f>
        <v>1258.2</v>
      </c>
      <c r="K244" s="131">
        <f t="shared" si="53"/>
        <v>984</v>
      </c>
      <c r="L244" s="131"/>
      <c r="M244" s="131">
        <f t="shared" si="53"/>
        <v>984</v>
      </c>
      <c r="N244" s="131">
        <f t="shared" si="53"/>
        <v>1023.4</v>
      </c>
      <c r="O244" s="131"/>
      <c r="P244" s="131">
        <f t="shared" si="53"/>
        <v>1023.4</v>
      </c>
    </row>
    <row r="245" spans="1:16" ht="14.45" x14ac:dyDescent="0.3">
      <c r="A245" s="81"/>
      <c r="B245" s="81"/>
      <c r="C245" s="7" t="s">
        <v>241</v>
      </c>
      <c r="D245" s="7"/>
      <c r="E245" s="25" t="s">
        <v>556</v>
      </c>
      <c r="F245" s="130">
        <v>946.2</v>
      </c>
      <c r="G245" s="130"/>
      <c r="H245" s="130">
        <v>946.2</v>
      </c>
      <c r="I245" s="130"/>
      <c r="J245" s="130">
        <v>946.2</v>
      </c>
      <c r="K245" s="130">
        <v>984</v>
      </c>
      <c r="L245" s="130"/>
      <c r="M245" s="130">
        <v>984</v>
      </c>
      <c r="N245" s="130">
        <v>1023.4</v>
      </c>
      <c r="O245" s="130"/>
      <c r="P245" s="130">
        <v>1023.4</v>
      </c>
    </row>
    <row r="246" spans="1:16" ht="27" x14ac:dyDescent="0.3">
      <c r="A246" s="81"/>
      <c r="B246" s="81"/>
      <c r="C246" s="7"/>
      <c r="D246" s="7" t="s">
        <v>336</v>
      </c>
      <c r="E246" s="3" t="s">
        <v>337</v>
      </c>
      <c r="F246" s="130">
        <v>897.7</v>
      </c>
      <c r="G246" s="130"/>
      <c r="H246" s="130">
        <v>897.7</v>
      </c>
      <c r="I246" s="130"/>
      <c r="J246" s="130">
        <v>897.7</v>
      </c>
      <c r="K246" s="130">
        <v>984</v>
      </c>
      <c r="L246" s="130"/>
      <c r="M246" s="130">
        <v>984</v>
      </c>
      <c r="N246" s="130">
        <v>1023.4</v>
      </c>
      <c r="O246" s="130"/>
      <c r="P246" s="130">
        <v>1023.4</v>
      </c>
    </row>
    <row r="247" spans="1:16" ht="14.45" x14ac:dyDescent="0.3">
      <c r="A247" s="81"/>
      <c r="B247" s="81"/>
      <c r="C247" s="7"/>
      <c r="D247" s="7" t="s">
        <v>513</v>
      </c>
      <c r="E247" s="3" t="s">
        <v>514</v>
      </c>
      <c r="F247" s="130">
        <v>48.5</v>
      </c>
      <c r="G247" s="130"/>
      <c r="H247" s="130">
        <v>48.5</v>
      </c>
      <c r="I247" s="130"/>
      <c r="J247" s="130">
        <v>48.5</v>
      </c>
      <c r="K247" s="130">
        <v>0</v>
      </c>
      <c r="L247" s="130"/>
      <c r="M247" s="130">
        <v>0</v>
      </c>
      <c r="N247" s="130">
        <v>0</v>
      </c>
      <c r="O247" s="130"/>
      <c r="P247" s="130">
        <v>0</v>
      </c>
    </row>
    <row r="248" spans="1:16" ht="40.15" x14ac:dyDescent="0.3">
      <c r="A248" s="81"/>
      <c r="B248" s="81"/>
      <c r="C248" s="7" t="s">
        <v>785</v>
      </c>
      <c r="D248" s="7"/>
      <c r="E248" s="14" t="s">
        <v>787</v>
      </c>
      <c r="F248" s="130">
        <f>F249</f>
        <v>0</v>
      </c>
      <c r="G248" s="146">
        <f>G249</f>
        <v>312</v>
      </c>
      <c r="H248" s="130">
        <f>H249</f>
        <v>312</v>
      </c>
      <c r="I248" s="130"/>
      <c r="J248" s="130">
        <f>J249</f>
        <v>312</v>
      </c>
      <c r="K248" s="130">
        <f>K249</f>
        <v>0</v>
      </c>
      <c r="L248" s="130"/>
      <c r="M248" s="130">
        <f>M249</f>
        <v>0</v>
      </c>
      <c r="N248" s="130">
        <f>N249</f>
        <v>0</v>
      </c>
      <c r="O248" s="130"/>
      <c r="P248" s="130">
        <f>P249</f>
        <v>0</v>
      </c>
    </row>
    <row r="249" spans="1:16" ht="27" x14ac:dyDescent="0.3">
      <c r="A249" s="81"/>
      <c r="B249" s="81"/>
      <c r="C249" s="7"/>
      <c r="D249" s="7" t="s">
        <v>362</v>
      </c>
      <c r="E249" s="3" t="s">
        <v>363</v>
      </c>
      <c r="F249" s="130">
        <v>0</v>
      </c>
      <c r="G249" s="146">
        <v>312</v>
      </c>
      <c r="H249" s="146">
        <f>F249+G249</f>
        <v>312</v>
      </c>
      <c r="I249" s="146"/>
      <c r="J249" s="146">
        <f>H249+I249</f>
        <v>312</v>
      </c>
      <c r="K249" s="146">
        <v>0</v>
      </c>
      <c r="L249" s="146"/>
      <c r="M249" s="146">
        <v>0</v>
      </c>
      <c r="N249" s="146">
        <v>0</v>
      </c>
      <c r="O249" s="146"/>
      <c r="P249" s="146">
        <v>0</v>
      </c>
    </row>
    <row r="250" spans="1:16" ht="26.45" x14ac:dyDescent="0.3">
      <c r="A250" s="94"/>
      <c r="B250" s="94"/>
      <c r="C250" s="95" t="s">
        <v>338</v>
      </c>
      <c r="D250" s="94"/>
      <c r="E250" s="96" t="s">
        <v>339</v>
      </c>
      <c r="F250" s="138">
        <f>F251</f>
        <v>271.10000000000002</v>
      </c>
      <c r="G250" s="138"/>
      <c r="H250" s="138">
        <f t="shared" ref="H250:P252" si="54">H251</f>
        <v>171.1</v>
      </c>
      <c r="I250" s="138"/>
      <c r="J250" s="138">
        <f t="shared" si="54"/>
        <v>171.1</v>
      </c>
      <c r="K250" s="138">
        <f t="shared" si="54"/>
        <v>0</v>
      </c>
      <c r="L250" s="138">
        <f t="shared" si="54"/>
        <v>0</v>
      </c>
      <c r="M250" s="138">
        <f t="shared" si="54"/>
        <v>0</v>
      </c>
      <c r="N250" s="138">
        <f t="shared" si="54"/>
        <v>0</v>
      </c>
      <c r="O250" s="138"/>
      <c r="P250" s="138">
        <f t="shared" si="54"/>
        <v>0</v>
      </c>
    </row>
    <row r="251" spans="1:16" ht="27" x14ac:dyDescent="0.3">
      <c r="A251" s="34"/>
      <c r="B251" s="34"/>
      <c r="C251" s="34" t="s">
        <v>570</v>
      </c>
      <c r="D251" s="34"/>
      <c r="E251" s="60" t="s">
        <v>571</v>
      </c>
      <c r="F251" s="139">
        <f>F252</f>
        <v>271.10000000000002</v>
      </c>
      <c r="G251" s="139"/>
      <c r="H251" s="139">
        <f t="shared" si="54"/>
        <v>171.1</v>
      </c>
      <c r="I251" s="139"/>
      <c r="J251" s="139">
        <f t="shared" si="54"/>
        <v>171.1</v>
      </c>
      <c r="K251" s="139">
        <f t="shared" si="54"/>
        <v>0</v>
      </c>
      <c r="L251" s="139">
        <f t="shared" si="54"/>
        <v>0</v>
      </c>
      <c r="M251" s="139">
        <f t="shared" si="54"/>
        <v>0</v>
      </c>
      <c r="N251" s="139">
        <f t="shared" si="54"/>
        <v>0</v>
      </c>
      <c r="O251" s="139"/>
      <c r="P251" s="139">
        <f t="shared" si="54"/>
        <v>0</v>
      </c>
    </row>
    <row r="252" spans="1:16" ht="53.45" x14ac:dyDescent="0.3">
      <c r="A252" s="36"/>
      <c r="B252" s="36"/>
      <c r="C252" s="36" t="s">
        <v>572</v>
      </c>
      <c r="D252" s="39"/>
      <c r="E252" s="22" t="s">
        <v>573</v>
      </c>
      <c r="F252" s="131">
        <f>F253</f>
        <v>271.10000000000002</v>
      </c>
      <c r="G252" s="131"/>
      <c r="H252" s="131">
        <f t="shared" si="54"/>
        <v>171.1</v>
      </c>
      <c r="I252" s="131"/>
      <c r="J252" s="131">
        <f t="shared" si="54"/>
        <v>171.1</v>
      </c>
      <c r="K252" s="131">
        <f t="shared" si="54"/>
        <v>0</v>
      </c>
      <c r="L252" s="131">
        <f t="shared" si="54"/>
        <v>0</v>
      </c>
      <c r="M252" s="131">
        <f t="shared" si="54"/>
        <v>0</v>
      </c>
      <c r="N252" s="131">
        <f t="shared" si="54"/>
        <v>0</v>
      </c>
      <c r="O252" s="131"/>
      <c r="P252" s="131">
        <f t="shared" si="54"/>
        <v>0</v>
      </c>
    </row>
    <row r="253" spans="1:16" ht="27" x14ac:dyDescent="0.3">
      <c r="A253" s="81"/>
      <c r="B253" s="81"/>
      <c r="C253" s="7" t="s">
        <v>574</v>
      </c>
      <c r="D253" s="7"/>
      <c r="E253" s="20" t="s">
        <v>340</v>
      </c>
      <c r="F253" s="146">
        <v>271.10000000000002</v>
      </c>
      <c r="G253" s="146"/>
      <c r="H253" s="146">
        <f>H254</f>
        <v>171.1</v>
      </c>
      <c r="I253" s="146"/>
      <c r="J253" s="146">
        <f>J254</f>
        <v>171.1</v>
      </c>
      <c r="K253" s="146">
        <v>0</v>
      </c>
      <c r="L253" s="146">
        <f>L254</f>
        <v>0</v>
      </c>
      <c r="M253" s="146">
        <f>M254</f>
        <v>0</v>
      </c>
      <c r="N253" s="146">
        <v>0</v>
      </c>
      <c r="O253" s="146"/>
      <c r="P253" s="146">
        <v>0</v>
      </c>
    </row>
    <row r="254" spans="1:16" ht="27" x14ac:dyDescent="0.3">
      <c r="A254" s="81"/>
      <c r="B254" s="81"/>
      <c r="C254" s="7"/>
      <c r="D254" s="7" t="s">
        <v>336</v>
      </c>
      <c r="E254" s="3" t="s">
        <v>337</v>
      </c>
      <c r="F254" s="146">
        <v>271.10000000000002</v>
      </c>
      <c r="G254" s="146"/>
      <c r="H254" s="146">
        <v>171.1</v>
      </c>
      <c r="I254" s="146"/>
      <c r="J254" s="146">
        <v>171.1</v>
      </c>
      <c r="K254" s="146">
        <v>0</v>
      </c>
      <c r="L254" s="146">
        <v>0</v>
      </c>
      <c r="M254" s="146">
        <v>0</v>
      </c>
      <c r="N254" s="146">
        <v>0</v>
      </c>
      <c r="O254" s="146"/>
      <c r="P254" s="146">
        <v>0</v>
      </c>
    </row>
    <row r="255" spans="1:16" ht="39.6" x14ac:dyDescent="0.3">
      <c r="A255" s="94"/>
      <c r="B255" s="94"/>
      <c r="C255" s="95" t="s">
        <v>476</v>
      </c>
      <c r="D255" s="94"/>
      <c r="E255" s="96" t="s">
        <v>477</v>
      </c>
      <c r="F255" s="138">
        <f t="shared" ref="F255:N255" si="55">F256+F268</f>
        <v>4437.0620000000008</v>
      </c>
      <c r="G255" s="138">
        <f t="shared" si="55"/>
        <v>90.5</v>
      </c>
      <c r="H255" s="138">
        <f t="shared" si="55"/>
        <v>4005.9620000000004</v>
      </c>
      <c r="I255" s="138">
        <f t="shared" si="55"/>
        <v>0</v>
      </c>
      <c r="J255" s="138">
        <f t="shared" si="55"/>
        <v>4005.9620000000004</v>
      </c>
      <c r="K255" s="138">
        <f>K256+K268</f>
        <v>1375</v>
      </c>
      <c r="L255" s="138"/>
      <c r="M255" s="138">
        <f>M256+M268</f>
        <v>1375</v>
      </c>
      <c r="N255" s="138">
        <f t="shared" si="55"/>
        <v>1118</v>
      </c>
      <c r="O255" s="138"/>
      <c r="P255" s="138">
        <f>P256+P268</f>
        <v>1118</v>
      </c>
    </row>
    <row r="256" spans="1:16" ht="14.45" x14ac:dyDescent="0.3">
      <c r="A256" s="36"/>
      <c r="B256" s="36"/>
      <c r="C256" s="36" t="s">
        <v>478</v>
      </c>
      <c r="D256" s="39"/>
      <c r="E256" s="37" t="s">
        <v>479</v>
      </c>
      <c r="F256" s="131">
        <f>F257+F264+F259</f>
        <v>4437.0620000000008</v>
      </c>
      <c r="G256" s="131">
        <f>G257+G264+G259</f>
        <v>0</v>
      </c>
      <c r="H256" s="131">
        <f>H257+H264+H259</f>
        <v>3715.4620000000004</v>
      </c>
      <c r="I256" s="131">
        <f>I257+I264+I259</f>
        <v>0</v>
      </c>
      <c r="J256" s="131">
        <f>J257+J264+J259</f>
        <v>3715.4620000000004</v>
      </c>
      <c r="K256" s="131">
        <f>K257+K264+K259+K260</f>
        <v>1075</v>
      </c>
      <c r="L256" s="131"/>
      <c r="M256" s="131">
        <f>M257+M264+M259+M260</f>
        <v>1075</v>
      </c>
      <c r="N256" s="131">
        <f>N257+N264+N259+N260</f>
        <v>1118</v>
      </c>
      <c r="O256" s="131"/>
      <c r="P256" s="131">
        <f>P257+P264+P259+P260</f>
        <v>1118</v>
      </c>
    </row>
    <row r="257" spans="1:16" ht="14.45" x14ac:dyDescent="0.3">
      <c r="A257" s="7"/>
      <c r="B257" s="7"/>
      <c r="C257" s="7" t="s">
        <v>480</v>
      </c>
      <c r="D257" s="7"/>
      <c r="E257" s="3" t="s">
        <v>481</v>
      </c>
      <c r="F257" s="130">
        <v>537.20000000000005</v>
      </c>
      <c r="G257" s="130"/>
      <c r="H257" s="130">
        <f>H258</f>
        <v>404.4</v>
      </c>
      <c r="I257" s="130">
        <f>I258</f>
        <v>0</v>
      </c>
      <c r="J257" s="130">
        <f>J258</f>
        <v>404.40000000000003</v>
      </c>
      <c r="K257" s="130">
        <v>559</v>
      </c>
      <c r="L257" s="130"/>
      <c r="M257" s="130">
        <v>559</v>
      </c>
      <c r="N257" s="130">
        <v>581</v>
      </c>
      <c r="O257" s="130"/>
      <c r="P257" s="130">
        <v>581</v>
      </c>
    </row>
    <row r="258" spans="1:16" ht="27" x14ac:dyDescent="0.3">
      <c r="A258" s="7"/>
      <c r="B258" s="7"/>
      <c r="C258" s="7"/>
      <c r="D258" s="7" t="s">
        <v>336</v>
      </c>
      <c r="E258" s="3" t="s">
        <v>337</v>
      </c>
      <c r="F258" s="130">
        <v>537.20000000000005</v>
      </c>
      <c r="G258" s="130"/>
      <c r="H258" s="130">
        <v>404.4</v>
      </c>
      <c r="I258" s="130"/>
      <c r="J258" s="130">
        <f>537.2-132.8</f>
        <v>404.40000000000003</v>
      </c>
      <c r="K258" s="130">
        <v>559</v>
      </c>
      <c r="L258" s="130"/>
      <c r="M258" s="130">
        <v>559</v>
      </c>
      <c r="N258" s="130">
        <v>581</v>
      </c>
      <c r="O258" s="130"/>
      <c r="P258" s="130">
        <v>581</v>
      </c>
    </row>
    <row r="259" spans="1:16" ht="14.45" x14ac:dyDescent="0.3">
      <c r="A259" s="7"/>
      <c r="B259" s="7"/>
      <c r="C259" s="7" t="s">
        <v>482</v>
      </c>
      <c r="D259" s="7"/>
      <c r="E259" s="3" t="s">
        <v>483</v>
      </c>
      <c r="F259" s="130">
        <f>F260</f>
        <v>588.79999999999995</v>
      </c>
      <c r="G259" s="130"/>
      <c r="H259" s="130">
        <f>H260</f>
        <v>0</v>
      </c>
      <c r="I259" s="130"/>
      <c r="J259" s="130">
        <f>J260</f>
        <v>0</v>
      </c>
      <c r="K259" s="130">
        <v>0</v>
      </c>
      <c r="L259" s="130"/>
      <c r="M259" s="130">
        <v>0</v>
      </c>
      <c r="N259" s="130">
        <v>0</v>
      </c>
      <c r="O259" s="130"/>
      <c r="P259" s="130">
        <v>0</v>
      </c>
    </row>
    <row r="260" spans="1:16" ht="27" x14ac:dyDescent="0.3">
      <c r="A260" s="7"/>
      <c r="B260" s="7"/>
      <c r="C260" s="7"/>
      <c r="D260" s="7" t="s">
        <v>336</v>
      </c>
      <c r="E260" s="3" t="s">
        <v>337</v>
      </c>
      <c r="F260" s="130">
        <f>F261+F262+F263</f>
        <v>588.79999999999995</v>
      </c>
      <c r="G260" s="130"/>
      <c r="H260" s="130">
        <f>H261+H262+H263</f>
        <v>0</v>
      </c>
      <c r="I260" s="130"/>
      <c r="J260" s="130">
        <f>J261+J262+J263</f>
        <v>0</v>
      </c>
      <c r="K260" s="130">
        <f>K261+K262+K263</f>
        <v>0</v>
      </c>
      <c r="L260" s="130"/>
      <c r="M260" s="130">
        <f>M261+M262+M263</f>
        <v>0</v>
      </c>
      <c r="N260" s="130">
        <f>N261+N262+N263</f>
        <v>0</v>
      </c>
      <c r="O260" s="130"/>
      <c r="P260" s="130">
        <f>P261+P262+P263</f>
        <v>0</v>
      </c>
    </row>
    <row r="261" spans="1:16" x14ac:dyDescent="0.25">
      <c r="A261" s="7"/>
      <c r="B261" s="7"/>
      <c r="C261" s="7"/>
      <c r="D261" s="7"/>
      <c r="E261" s="10" t="s">
        <v>484</v>
      </c>
      <c r="F261" s="130">
        <v>0</v>
      </c>
      <c r="G261" s="130"/>
      <c r="H261" s="130">
        <v>0</v>
      </c>
      <c r="I261" s="130"/>
      <c r="J261" s="130">
        <v>0</v>
      </c>
      <c r="K261" s="130"/>
      <c r="L261" s="130"/>
      <c r="M261" s="130">
        <v>0</v>
      </c>
      <c r="N261" s="130"/>
      <c r="O261" s="130"/>
      <c r="P261" s="130">
        <v>0</v>
      </c>
    </row>
    <row r="262" spans="1:16" x14ac:dyDescent="0.25">
      <c r="A262" s="7"/>
      <c r="B262" s="7"/>
      <c r="C262" s="7"/>
      <c r="D262" s="7"/>
      <c r="E262" s="10" t="s">
        <v>250</v>
      </c>
      <c r="F262" s="130">
        <v>0</v>
      </c>
      <c r="G262" s="130"/>
      <c r="H262" s="130">
        <v>0</v>
      </c>
      <c r="I262" s="130"/>
      <c r="J262" s="130">
        <v>0</v>
      </c>
      <c r="K262" s="130"/>
      <c r="L262" s="130"/>
      <c r="M262" s="130"/>
      <c r="N262" s="130"/>
      <c r="O262" s="130"/>
      <c r="P262" s="130">
        <v>0</v>
      </c>
    </row>
    <row r="263" spans="1:16" x14ac:dyDescent="0.25">
      <c r="A263" s="7"/>
      <c r="B263" s="7"/>
      <c r="C263" s="7"/>
      <c r="D263" s="7"/>
      <c r="E263" s="3" t="s">
        <v>485</v>
      </c>
      <c r="F263" s="130">
        <v>588.79999999999995</v>
      </c>
      <c r="G263" s="130"/>
      <c r="H263" s="130">
        <v>0</v>
      </c>
      <c r="I263" s="146"/>
      <c r="J263" s="130">
        <v>0</v>
      </c>
      <c r="K263" s="130"/>
      <c r="L263" s="130"/>
      <c r="M263" s="130">
        <v>0</v>
      </c>
      <c r="N263" s="130"/>
      <c r="O263" s="130"/>
      <c r="P263" s="130">
        <v>0</v>
      </c>
    </row>
    <row r="264" spans="1:16" ht="26.45" x14ac:dyDescent="0.3">
      <c r="A264" s="7"/>
      <c r="B264" s="7"/>
      <c r="C264" s="7" t="s">
        <v>486</v>
      </c>
      <c r="D264" s="7"/>
      <c r="E264" s="1" t="s">
        <v>754</v>
      </c>
      <c r="F264" s="130">
        <f>F265</f>
        <v>3311.0620000000004</v>
      </c>
      <c r="G264" s="130"/>
      <c r="H264" s="130">
        <f>H265</f>
        <v>3311.0620000000004</v>
      </c>
      <c r="I264" s="130"/>
      <c r="J264" s="130">
        <f>J265</f>
        <v>3311.0620000000004</v>
      </c>
      <c r="K264" s="130">
        <f>K266+K267</f>
        <v>516</v>
      </c>
      <c r="L264" s="130"/>
      <c r="M264" s="130">
        <f>M266+M267</f>
        <v>516</v>
      </c>
      <c r="N264" s="130">
        <f>N266+N267</f>
        <v>537</v>
      </c>
      <c r="O264" s="130"/>
      <c r="P264" s="130">
        <f>P266+P267</f>
        <v>537</v>
      </c>
    </row>
    <row r="265" spans="1:16" ht="27" x14ac:dyDescent="0.3">
      <c r="A265" s="7"/>
      <c r="B265" s="7"/>
      <c r="C265" s="7"/>
      <c r="D265" s="7" t="s">
        <v>336</v>
      </c>
      <c r="E265" s="3" t="s">
        <v>337</v>
      </c>
      <c r="F265" s="130">
        <f>F266+F267</f>
        <v>3311.0620000000004</v>
      </c>
      <c r="G265" s="130"/>
      <c r="H265" s="130">
        <f>H266+H267</f>
        <v>3311.0620000000004</v>
      </c>
      <c r="I265" s="130"/>
      <c r="J265" s="130">
        <f>J266+J267</f>
        <v>3311.0620000000004</v>
      </c>
      <c r="K265" s="130">
        <v>516</v>
      </c>
      <c r="L265" s="130"/>
      <c r="M265" s="130">
        <v>516</v>
      </c>
      <c r="N265" s="130">
        <v>537</v>
      </c>
      <c r="O265" s="130"/>
      <c r="P265" s="130">
        <v>537</v>
      </c>
    </row>
    <row r="266" spans="1:16" ht="14.45" x14ac:dyDescent="0.3">
      <c r="A266" s="7"/>
      <c r="B266" s="7"/>
      <c r="C266" s="7"/>
      <c r="D266" s="7"/>
      <c r="E266" s="10" t="s">
        <v>250</v>
      </c>
      <c r="F266" s="130">
        <v>2814.4030000000002</v>
      </c>
      <c r="G266" s="130"/>
      <c r="H266" s="130">
        <v>2814.4030000000002</v>
      </c>
      <c r="I266" s="130"/>
      <c r="J266" s="130">
        <v>2814.4030000000002</v>
      </c>
      <c r="K266" s="130"/>
      <c r="L266" s="130"/>
      <c r="M266" s="130"/>
      <c r="N266" s="130"/>
      <c r="O266" s="130"/>
      <c r="P266" s="130"/>
    </row>
    <row r="267" spans="1:16" ht="14.45" x14ac:dyDescent="0.3">
      <c r="A267" s="7"/>
      <c r="B267" s="7"/>
      <c r="C267" s="7"/>
      <c r="D267" s="7"/>
      <c r="E267" s="3" t="s">
        <v>485</v>
      </c>
      <c r="F267" s="130">
        <v>496.65899999999999</v>
      </c>
      <c r="G267" s="130"/>
      <c r="H267" s="130">
        <v>496.65899999999999</v>
      </c>
      <c r="I267" s="130"/>
      <c r="J267" s="130">
        <v>496.65899999999999</v>
      </c>
      <c r="K267" s="130">
        <v>516</v>
      </c>
      <c r="L267" s="130"/>
      <c r="M267" s="130">
        <v>516</v>
      </c>
      <c r="N267" s="130">
        <v>537</v>
      </c>
      <c r="O267" s="130"/>
      <c r="P267" s="130">
        <v>537</v>
      </c>
    </row>
    <row r="268" spans="1:16" ht="40.15" x14ac:dyDescent="0.3">
      <c r="A268" s="36"/>
      <c r="B268" s="36"/>
      <c r="C268" s="36" t="s">
        <v>489</v>
      </c>
      <c r="D268" s="39"/>
      <c r="E268" s="37" t="s">
        <v>490</v>
      </c>
      <c r="F268" s="131">
        <f t="shared" ref="F268:P268" si="56">F269</f>
        <v>0</v>
      </c>
      <c r="G268" s="131">
        <f t="shared" si="56"/>
        <v>90.5</v>
      </c>
      <c r="H268" s="131">
        <f t="shared" si="56"/>
        <v>290.5</v>
      </c>
      <c r="I268" s="131"/>
      <c r="J268" s="131">
        <f t="shared" si="56"/>
        <v>290.5</v>
      </c>
      <c r="K268" s="131">
        <f t="shared" si="56"/>
        <v>300</v>
      </c>
      <c r="L268" s="131"/>
      <c r="M268" s="131">
        <f t="shared" si="56"/>
        <v>300</v>
      </c>
      <c r="N268" s="131">
        <f t="shared" si="56"/>
        <v>0</v>
      </c>
      <c r="O268" s="131"/>
      <c r="P268" s="131">
        <f t="shared" si="56"/>
        <v>0</v>
      </c>
    </row>
    <row r="269" spans="1:16" ht="40.15" x14ac:dyDescent="0.3">
      <c r="A269" s="81"/>
      <c r="B269" s="81"/>
      <c r="C269" s="7" t="s">
        <v>491</v>
      </c>
      <c r="D269" s="7"/>
      <c r="E269" s="3" t="s">
        <v>492</v>
      </c>
      <c r="F269" s="130">
        <f>1800-1800</f>
        <v>0</v>
      </c>
      <c r="G269" s="146">
        <v>90.5</v>
      </c>
      <c r="H269" s="130">
        <f>H270</f>
        <v>290.5</v>
      </c>
      <c r="I269" s="130"/>
      <c r="J269" s="130">
        <v>290.5</v>
      </c>
      <c r="K269" s="130">
        <v>300</v>
      </c>
      <c r="L269" s="130"/>
      <c r="M269" s="130">
        <v>300</v>
      </c>
      <c r="N269" s="130">
        <v>0</v>
      </c>
      <c r="O269" s="130"/>
      <c r="P269" s="130">
        <v>0</v>
      </c>
    </row>
    <row r="270" spans="1:16" ht="27" x14ac:dyDescent="0.3">
      <c r="A270" s="81"/>
      <c r="B270" s="81"/>
      <c r="C270" s="7"/>
      <c r="D270" s="7" t="s">
        <v>336</v>
      </c>
      <c r="E270" s="3" t="s">
        <v>337</v>
      </c>
      <c r="F270" s="130">
        <v>0</v>
      </c>
      <c r="G270" s="146">
        <v>90.5</v>
      </c>
      <c r="H270" s="130">
        <v>290.5</v>
      </c>
      <c r="I270" s="146"/>
      <c r="J270" s="130">
        <v>290.5</v>
      </c>
      <c r="K270" s="130">
        <v>300</v>
      </c>
      <c r="L270" s="130"/>
      <c r="M270" s="130">
        <v>300</v>
      </c>
      <c r="N270" s="130">
        <v>0</v>
      </c>
      <c r="O270" s="130"/>
      <c r="P270" s="130">
        <v>0</v>
      </c>
    </row>
    <row r="271" spans="1:16" ht="14.45" x14ac:dyDescent="0.3">
      <c r="A271" s="193"/>
      <c r="B271" s="193"/>
      <c r="C271" s="194" t="s">
        <v>620</v>
      </c>
      <c r="D271" s="199"/>
      <c r="E271" s="195" t="s">
        <v>621</v>
      </c>
      <c r="F271" s="200"/>
      <c r="G271" s="200"/>
      <c r="H271" s="192">
        <f t="shared" ref="H271:P271" si="57">H272</f>
        <v>2974.7999999999997</v>
      </c>
      <c r="I271" s="192">
        <f t="shared" si="57"/>
        <v>0</v>
      </c>
      <c r="J271" s="192">
        <f t="shared" si="57"/>
        <v>2974.7999999999997</v>
      </c>
      <c r="K271" s="192">
        <f t="shared" si="57"/>
        <v>3122.3</v>
      </c>
      <c r="L271" s="192">
        <f t="shared" si="57"/>
        <v>0</v>
      </c>
      <c r="M271" s="192">
        <f t="shared" si="57"/>
        <v>3122.3</v>
      </c>
      <c r="N271" s="192">
        <f t="shared" si="57"/>
        <v>3122.3</v>
      </c>
      <c r="O271" s="192">
        <f t="shared" si="57"/>
        <v>0</v>
      </c>
      <c r="P271" s="192">
        <f t="shared" si="57"/>
        <v>3122.3</v>
      </c>
    </row>
    <row r="272" spans="1:16" s="48" customFormat="1" ht="39.6" x14ac:dyDescent="0.3">
      <c r="A272" s="181"/>
      <c r="B272" s="181"/>
      <c r="C272" s="182" t="s">
        <v>509</v>
      </c>
      <c r="D272" s="183"/>
      <c r="E272" s="184" t="s">
        <v>510</v>
      </c>
      <c r="F272" s="153">
        <f>F273</f>
        <v>2894.5</v>
      </c>
      <c r="G272" s="153"/>
      <c r="H272" s="153">
        <f t="shared" ref="H272:P272" si="58">H273</f>
        <v>2974.7999999999997</v>
      </c>
      <c r="I272" s="153">
        <f t="shared" si="58"/>
        <v>0</v>
      </c>
      <c r="J272" s="153">
        <f t="shared" si="58"/>
        <v>2974.7999999999997</v>
      </c>
      <c r="K272" s="153">
        <f t="shared" si="58"/>
        <v>3122.3</v>
      </c>
      <c r="L272" s="153">
        <f t="shared" si="58"/>
        <v>0</v>
      </c>
      <c r="M272" s="153">
        <f t="shared" si="58"/>
        <v>3122.3</v>
      </c>
      <c r="N272" s="153">
        <f t="shared" si="58"/>
        <v>3122.3</v>
      </c>
      <c r="O272" s="153">
        <f t="shared" si="58"/>
        <v>0</v>
      </c>
      <c r="P272" s="153">
        <f t="shared" si="58"/>
        <v>3122.3</v>
      </c>
    </row>
    <row r="273" spans="1:16" ht="27" x14ac:dyDescent="0.3">
      <c r="A273" s="81"/>
      <c r="B273" s="81"/>
      <c r="C273" s="7" t="s">
        <v>511</v>
      </c>
      <c r="D273" s="7"/>
      <c r="E273" s="3" t="s">
        <v>512</v>
      </c>
      <c r="F273" s="130">
        <f>F274+F275+F276</f>
        <v>2894.5</v>
      </c>
      <c r="G273" s="130"/>
      <c r="H273" s="130">
        <f>H274+H275+H276</f>
        <v>2974.7999999999997</v>
      </c>
      <c r="I273" s="130">
        <f>I274</f>
        <v>0</v>
      </c>
      <c r="J273" s="130">
        <f>J274+J275+J276</f>
        <v>2974.7999999999997</v>
      </c>
      <c r="K273" s="130">
        <f>K274+K275+K276</f>
        <v>3122.3</v>
      </c>
      <c r="L273" s="130">
        <f>L274</f>
        <v>0</v>
      </c>
      <c r="M273" s="130">
        <f>M274+M275+M276</f>
        <v>3122.3</v>
      </c>
      <c r="N273" s="130">
        <f>N274+N275+N276</f>
        <v>3122.3</v>
      </c>
      <c r="O273" s="130">
        <f>O274</f>
        <v>0</v>
      </c>
      <c r="P273" s="130">
        <f>P274+P275+P276</f>
        <v>3122.3</v>
      </c>
    </row>
    <row r="274" spans="1:16" ht="40.15" x14ac:dyDescent="0.3">
      <c r="A274" s="81"/>
      <c r="B274" s="81"/>
      <c r="C274" s="13"/>
      <c r="D274" s="7" t="s">
        <v>505</v>
      </c>
      <c r="E274" s="3" t="s">
        <v>506</v>
      </c>
      <c r="F274" s="130">
        <v>2685.8</v>
      </c>
      <c r="G274" s="130"/>
      <c r="H274" s="130">
        <v>2766.1</v>
      </c>
      <c r="I274" s="130"/>
      <c r="J274" s="130">
        <f>SUM(H274:I274)</f>
        <v>2766.1</v>
      </c>
      <c r="K274" s="130">
        <v>2913.6000000000004</v>
      </c>
      <c r="L274" s="130"/>
      <c r="M274" s="130">
        <f>SUM(K274:L274)</f>
        <v>2913.6000000000004</v>
      </c>
      <c r="N274" s="130">
        <v>2913.6000000000004</v>
      </c>
      <c r="O274" s="130"/>
      <c r="P274" s="130">
        <f>SUM(N274:O274)</f>
        <v>2913.6000000000004</v>
      </c>
    </row>
    <row r="275" spans="1:16" ht="27" x14ac:dyDescent="0.3">
      <c r="A275" s="81"/>
      <c r="B275" s="81"/>
      <c r="C275" s="13"/>
      <c r="D275" s="7" t="s">
        <v>336</v>
      </c>
      <c r="E275" s="3" t="s">
        <v>337</v>
      </c>
      <c r="F275" s="130">
        <f>95.7-5.5</f>
        <v>90.2</v>
      </c>
      <c r="G275" s="130"/>
      <c r="H275" s="130">
        <f>95.7-5.5</f>
        <v>90.2</v>
      </c>
      <c r="I275" s="130"/>
      <c r="J275" s="130">
        <f>95.7-5.5</f>
        <v>90.2</v>
      </c>
      <c r="K275" s="130">
        <f>99.4-9.2</f>
        <v>90.2</v>
      </c>
      <c r="L275" s="130"/>
      <c r="M275" s="130">
        <f>99.4-9.2</f>
        <v>90.2</v>
      </c>
      <c r="N275" s="130">
        <f>103.4-13.2</f>
        <v>90.2</v>
      </c>
      <c r="O275" s="130"/>
      <c r="P275" s="130">
        <f>103.4-13.2</f>
        <v>90.2</v>
      </c>
    </row>
    <row r="276" spans="1:16" ht="14.45" x14ac:dyDescent="0.3">
      <c r="A276" s="81"/>
      <c r="B276" s="81"/>
      <c r="C276" s="13"/>
      <c r="D276" s="17" t="s">
        <v>513</v>
      </c>
      <c r="E276" s="8" t="s">
        <v>514</v>
      </c>
      <c r="F276" s="130">
        <v>118.5</v>
      </c>
      <c r="G276" s="130"/>
      <c r="H276" s="130">
        <v>118.5</v>
      </c>
      <c r="I276" s="130"/>
      <c r="J276" s="130">
        <v>118.5</v>
      </c>
      <c r="K276" s="130">
        <v>118.5</v>
      </c>
      <c r="L276" s="130"/>
      <c r="M276" s="130">
        <v>118.5</v>
      </c>
      <c r="N276" s="130">
        <v>118.5</v>
      </c>
      <c r="O276" s="130"/>
      <c r="P276" s="130">
        <v>118.5</v>
      </c>
    </row>
    <row r="277" spans="1:16" ht="14.45" x14ac:dyDescent="0.3">
      <c r="A277" s="85"/>
      <c r="B277" s="18" t="s">
        <v>655</v>
      </c>
      <c r="C277" s="86"/>
      <c r="D277" s="85"/>
      <c r="E277" s="87" t="s">
        <v>656</v>
      </c>
      <c r="F277" s="137">
        <f t="shared" ref="F277:P277" si="59">F278+F313+F372+F433</f>
        <v>50426.720000000001</v>
      </c>
      <c r="G277" s="137">
        <f t="shared" si="59"/>
        <v>942.1291500000001</v>
      </c>
      <c r="H277" s="137">
        <f t="shared" si="59"/>
        <v>51291.415069999995</v>
      </c>
      <c r="I277" s="137">
        <f t="shared" si="59"/>
        <v>132.20000000000005</v>
      </c>
      <c r="J277" s="137">
        <f t="shared" si="59"/>
        <v>51423.61507</v>
      </c>
      <c r="K277" s="137">
        <f t="shared" si="59"/>
        <v>47379.409449999999</v>
      </c>
      <c r="L277" s="137">
        <f t="shared" si="59"/>
        <v>0</v>
      </c>
      <c r="M277" s="137">
        <f t="shared" si="59"/>
        <v>47379.409449999999</v>
      </c>
      <c r="N277" s="137">
        <f t="shared" si="59"/>
        <v>65798.367169999998</v>
      </c>
      <c r="O277" s="137">
        <f t="shared" si="59"/>
        <v>0</v>
      </c>
      <c r="P277" s="137">
        <f t="shared" si="59"/>
        <v>65798.367169999998</v>
      </c>
    </row>
    <row r="278" spans="1:16" ht="14.45" x14ac:dyDescent="0.3">
      <c r="A278" s="85"/>
      <c r="B278" s="18" t="s">
        <v>657</v>
      </c>
      <c r="C278" s="86"/>
      <c r="D278" s="85"/>
      <c r="E278" s="87" t="s">
        <v>658</v>
      </c>
      <c r="F278" s="137">
        <f t="shared" ref="F278:P278" si="60">F279</f>
        <v>2108.6999999999998</v>
      </c>
      <c r="G278" s="137">
        <f t="shared" si="60"/>
        <v>942.00944000000004</v>
      </c>
      <c r="H278" s="137">
        <f t="shared" si="60"/>
        <v>2163.7353600000001</v>
      </c>
      <c r="I278" s="137">
        <f t="shared" si="60"/>
        <v>0</v>
      </c>
      <c r="J278" s="137">
        <f t="shared" si="60"/>
        <v>2163.7353600000001</v>
      </c>
      <c r="K278" s="137">
        <f t="shared" si="60"/>
        <v>1077.5999999999999</v>
      </c>
      <c r="L278" s="137">
        <f t="shared" si="60"/>
        <v>0</v>
      </c>
      <c r="M278" s="137">
        <f t="shared" si="60"/>
        <v>1077.5999999999999</v>
      </c>
      <c r="N278" s="137">
        <f t="shared" si="60"/>
        <v>13529.39517</v>
      </c>
      <c r="O278" s="137">
        <f t="shared" si="60"/>
        <v>0</v>
      </c>
      <c r="P278" s="137">
        <f t="shared" si="60"/>
        <v>13529.39517</v>
      </c>
    </row>
    <row r="279" spans="1:16" ht="26.45" x14ac:dyDescent="0.3">
      <c r="A279" s="85"/>
      <c r="B279" s="18"/>
      <c r="C279" s="86" t="s">
        <v>6</v>
      </c>
      <c r="D279" s="85"/>
      <c r="E279" s="90" t="s">
        <v>7</v>
      </c>
      <c r="F279" s="137">
        <f>F280+F284+F297+F305</f>
        <v>2108.6999999999998</v>
      </c>
      <c r="G279" s="137">
        <f>G280+G284+G297+G305</f>
        <v>942.00944000000004</v>
      </c>
      <c r="H279" s="137">
        <f>H280+H284+H297+H305</f>
        <v>2163.7353600000001</v>
      </c>
      <c r="I279" s="137">
        <f>I280+I284+I297+I305</f>
        <v>0</v>
      </c>
      <c r="J279" s="137">
        <f>J280+J284+J297+J305</f>
        <v>2163.7353600000001</v>
      </c>
      <c r="K279" s="137">
        <f t="shared" ref="K279:P279" si="61">K280+K284+K305</f>
        <v>1077.5999999999999</v>
      </c>
      <c r="L279" s="137">
        <f t="shared" si="61"/>
        <v>0</v>
      </c>
      <c r="M279" s="137">
        <f t="shared" si="61"/>
        <v>1077.5999999999999</v>
      </c>
      <c r="N279" s="137">
        <f t="shared" si="61"/>
        <v>13529.39517</v>
      </c>
      <c r="O279" s="137">
        <f t="shared" si="61"/>
        <v>0</v>
      </c>
      <c r="P279" s="137">
        <f t="shared" si="61"/>
        <v>13529.39517</v>
      </c>
    </row>
    <row r="280" spans="1:16" ht="39.6" x14ac:dyDescent="0.3">
      <c r="A280" s="93"/>
      <c r="B280" s="94"/>
      <c r="C280" s="95" t="s">
        <v>213</v>
      </c>
      <c r="D280" s="94"/>
      <c r="E280" s="96" t="s">
        <v>214</v>
      </c>
      <c r="F280" s="138">
        <f>F281</f>
        <v>64.2</v>
      </c>
      <c r="G280" s="138"/>
      <c r="H280" s="138">
        <f t="shared" ref="H280:P281" si="62">H281</f>
        <v>64.2</v>
      </c>
      <c r="I280" s="138"/>
      <c r="J280" s="138">
        <f t="shared" si="62"/>
        <v>64.2</v>
      </c>
      <c r="K280" s="138">
        <f t="shared" si="62"/>
        <v>0</v>
      </c>
      <c r="L280" s="138"/>
      <c r="M280" s="138">
        <f t="shared" si="62"/>
        <v>0</v>
      </c>
      <c r="N280" s="138">
        <f t="shared" si="62"/>
        <v>0</v>
      </c>
      <c r="O280" s="138"/>
      <c r="P280" s="138">
        <f t="shared" si="62"/>
        <v>0</v>
      </c>
    </row>
    <row r="281" spans="1:16" ht="40.15" x14ac:dyDescent="0.3">
      <c r="A281" s="36"/>
      <c r="B281" s="36"/>
      <c r="C281" s="36" t="s">
        <v>235</v>
      </c>
      <c r="D281" s="36"/>
      <c r="E281" s="37" t="s">
        <v>756</v>
      </c>
      <c r="F281" s="131">
        <f>F282</f>
        <v>64.2</v>
      </c>
      <c r="G281" s="131"/>
      <c r="H281" s="131">
        <f t="shared" si="62"/>
        <v>64.2</v>
      </c>
      <c r="I281" s="131"/>
      <c r="J281" s="131">
        <f t="shared" si="62"/>
        <v>64.2</v>
      </c>
      <c r="K281" s="131">
        <f t="shared" si="62"/>
        <v>0</v>
      </c>
      <c r="L281" s="131"/>
      <c r="M281" s="131">
        <f t="shared" si="62"/>
        <v>0</v>
      </c>
      <c r="N281" s="131">
        <f t="shared" si="62"/>
        <v>0</v>
      </c>
      <c r="O281" s="131"/>
      <c r="P281" s="131">
        <f t="shared" si="62"/>
        <v>0</v>
      </c>
    </row>
    <row r="282" spans="1:16" s="44" customFormat="1" ht="27" x14ac:dyDescent="0.3">
      <c r="A282" s="82"/>
      <c r="B282" s="82"/>
      <c r="C282" s="7" t="s">
        <v>236</v>
      </c>
      <c r="D282" s="13"/>
      <c r="E282" s="3" t="s">
        <v>755</v>
      </c>
      <c r="F282" s="130">
        <v>64.2</v>
      </c>
      <c r="G282" s="130"/>
      <c r="H282" s="130">
        <v>64.2</v>
      </c>
      <c r="I282" s="130"/>
      <c r="J282" s="130">
        <v>64.2</v>
      </c>
      <c r="K282" s="130">
        <v>0</v>
      </c>
      <c r="L282" s="130"/>
      <c r="M282" s="130">
        <v>0</v>
      </c>
      <c r="N282" s="130">
        <v>0</v>
      </c>
      <c r="O282" s="130"/>
      <c r="P282" s="130">
        <v>0</v>
      </c>
    </row>
    <row r="283" spans="1:16" s="44" customFormat="1" ht="27" x14ac:dyDescent="0.3">
      <c r="A283" s="82"/>
      <c r="B283" s="82"/>
      <c r="C283" s="7"/>
      <c r="D283" s="7" t="s">
        <v>336</v>
      </c>
      <c r="E283" s="3" t="s">
        <v>337</v>
      </c>
      <c r="F283" s="130">
        <v>64.2</v>
      </c>
      <c r="G283" s="130"/>
      <c r="H283" s="130">
        <v>64.2</v>
      </c>
      <c r="I283" s="130"/>
      <c r="J283" s="130">
        <v>64.2</v>
      </c>
      <c r="K283" s="130">
        <v>0</v>
      </c>
      <c r="L283" s="130"/>
      <c r="M283" s="130">
        <v>0</v>
      </c>
      <c r="N283" s="130">
        <v>0</v>
      </c>
      <c r="O283" s="130"/>
      <c r="P283" s="130">
        <v>0</v>
      </c>
    </row>
    <row r="284" spans="1:16" ht="39.6" x14ac:dyDescent="0.3">
      <c r="A284" s="93"/>
      <c r="B284" s="94"/>
      <c r="C284" s="95" t="s">
        <v>237</v>
      </c>
      <c r="D284" s="94"/>
      <c r="E284" s="96" t="s">
        <v>238</v>
      </c>
      <c r="F284" s="138">
        <f t="shared" ref="F284:O284" si="63">F285</f>
        <v>2044.5</v>
      </c>
      <c r="G284" s="138">
        <f t="shared" si="63"/>
        <v>627.5</v>
      </c>
      <c r="H284" s="138">
        <f t="shared" si="63"/>
        <v>1944.3</v>
      </c>
      <c r="I284" s="138">
        <f t="shared" si="63"/>
        <v>0</v>
      </c>
      <c r="J284" s="138">
        <f t="shared" si="63"/>
        <v>1944.3</v>
      </c>
      <c r="K284" s="138">
        <f t="shared" si="63"/>
        <v>1077.5999999999999</v>
      </c>
      <c r="L284" s="138">
        <f t="shared" si="63"/>
        <v>0</v>
      </c>
      <c r="M284" s="138">
        <f t="shared" si="63"/>
        <v>1077.5999999999999</v>
      </c>
      <c r="N284" s="138">
        <f t="shared" si="63"/>
        <v>1876.5951700000001</v>
      </c>
      <c r="O284" s="138">
        <f t="shared" si="63"/>
        <v>0</v>
      </c>
      <c r="P284" s="138">
        <f>P285</f>
        <v>1876.5951700000001</v>
      </c>
    </row>
    <row r="285" spans="1:16" ht="71.25" customHeight="1" x14ac:dyDescent="0.3">
      <c r="A285" s="36"/>
      <c r="B285" s="36"/>
      <c r="C285" s="36" t="s">
        <v>239</v>
      </c>
      <c r="D285" s="36"/>
      <c r="E285" s="37" t="s">
        <v>838</v>
      </c>
      <c r="F285" s="131">
        <f t="shared" ref="F285:K285" si="64">F286+F288+F290+F292</f>
        <v>2044.5</v>
      </c>
      <c r="G285" s="131">
        <f t="shared" si="64"/>
        <v>627.5</v>
      </c>
      <c r="H285" s="131">
        <f t="shared" si="64"/>
        <v>1944.3</v>
      </c>
      <c r="I285" s="131">
        <f t="shared" si="64"/>
        <v>0</v>
      </c>
      <c r="J285" s="131">
        <f t="shared" si="64"/>
        <v>1944.3</v>
      </c>
      <c r="K285" s="131">
        <f t="shared" si="64"/>
        <v>1077.5999999999999</v>
      </c>
      <c r="L285" s="131">
        <f>L286+L288+L290+L292</f>
        <v>0</v>
      </c>
      <c r="M285" s="131">
        <f>M286+M288+M290+M292</f>
        <v>1077.5999999999999</v>
      </c>
      <c r="N285" s="131">
        <f>N286+N288+N290+N292+N294</f>
        <v>1876.5951700000001</v>
      </c>
      <c r="O285" s="131">
        <f>O286+O288+O290+O292+O294</f>
        <v>0</v>
      </c>
      <c r="P285" s="131">
        <f>P286+P288+P290+P292+P294</f>
        <v>1876.5951700000001</v>
      </c>
    </row>
    <row r="286" spans="1:16" ht="40.15" x14ac:dyDescent="0.3">
      <c r="A286" s="81"/>
      <c r="B286" s="81"/>
      <c r="C286" s="7" t="s">
        <v>242</v>
      </c>
      <c r="D286" s="7"/>
      <c r="E286" s="14" t="s">
        <v>243</v>
      </c>
      <c r="F286" s="130">
        <v>129.69999999999999</v>
      </c>
      <c r="G286" s="130"/>
      <c r="H286" s="130">
        <v>129.69999999999999</v>
      </c>
      <c r="I286" s="130"/>
      <c r="J286" s="130">
        <v>129.69999999999999</v>
      </c>
      <c r="K286" s="130">
        <v>134.9</v>
      </c>
      <c r="L286" s="130"/>
      <c r="M286" s="130">
        <v>134.9</v>
      </c>
      <c r="N286" s="130">
        <v>140.26</v>
      </c>
      <c r="O286" s="130"/>
      <c r="P286" s="130">
        <v>140.26</v>
      </c>
    </row>
    <row r="287" spans="1:16" ht="27" x14ac:dyDescent="0.3">
      <c r="A287" s="81"/>
      <c r="B287" s="81"/>
      <c r="C287" s="7"/>
      <c r="D287" s="7" t="s">
        <v>336</v>
      </c>
      <c r="E287" s="3" t="s">
        <v>337</v>
      </c>
      <c r="F287" s="130">
        <v>129.69999999999999</v>
      </c>
      <c r="G287" s="146"/>
      <c r="H287" s="130">
        <v>129.69999999999999</v>
      </c>
      <c r="I287" s="130"/>
      <c r="J287" s="130">
        <v>129.69999999999999</v>
      </c>
      <c r="K287" s="130">
        <v>134.9</v>
      </c>
      <c r="L287" s="130"/>
      <c r="M287" s="130">
        <v>134.9</v>
      </c>
      <c r="N287" s="130">
        <v>140.26</v>
      </c>
      <c r="O287" s="130"/>
      <c r="P287" s="130">
        <v>140.26</v>
      </c>
    </row>
    <row r="288" spans="1:16" ht="27" x14ac:dyDescent="0.3">
      <c r="A288" s="81"/>
      <c r="B288" s="81"/>
      <c r="C288" s="7" t="s">
        <v>244</v>
      </c>
      <c r="D288" s="7"/>
      <c r="E288" s="14" t="s">
        <v>245</v>
      </c>
      <c r="F288" s="130">
        <v>1123</v>
      </c>
      <c r="G288" s="146">
        <f>G289</f>
        <v>627.5</v>
      </c>
      <c r="H288" s="130">
        <f>SUM(F288:G288)</f>
        <v>1750.5</v>
      </c>
      <c r="I288" s="130"/>
      <c r="J288" s="130">
        <f>SUM(H288:I288)</f>
        <v>1750.5</v>
      </c>
      <c r="K288" s="130">
        <v>876</v>
      </c>
      <c r="L288" s="130"/>
      <c r="M288" s="130">
        <v>876</v>
      </c>
      <c r="N288" s="130">
        <v>911.1</v>
      </c>
      <c r="O288" s="130"/>
      <c r="P288" s="130">
        <v>911.1</v>
      </c>
    </row>
    <row r="289" spans="1:16" ht="27" x14ac:dyDescent="0.3">
      <c r="A289" s="81"/>
      <c r="B289" s="81"/>
      <c r="C289" s="7"/>
      <c r="D289" s="7" t="s">
        <v>336</v>
      </c>
      <c r="E289" s="3" t="s">
        <v>337</v>
      </c>
      <c r="F289" s="130">
        <v>1123</v>
      </c>
      <c r="G289" s="146">
        <v>627.5</v>
      </c>
      <c r="H289" s="130">
        <f>SUM(F289:G289)</f>
        <v>1750.5</v>
      </c>
      <c r="I289" s="130"/>
      <c r="J289" s="130">
        <f>SUM(H289:I289)</f>
        <v>1750.5</v>
      </c>
      <c r="K289" s="130">
        <v>876</v>
      </c>
      <c r="L289" s="130"/>
      <c r="M289" s="130">
        <v>876</v>
      </c>
      <c r="N289" s="130">
        <v>911.1</v>
      </c>
      <c r="O289" s="130"/>
      <c r="P289" s="130">
        <v>911.1</v>
      </c>
    </row>
    <row r="290" spans="1:16" ht="27" x14ac:dyDescent="0.3">
      <c r="A290" s="81"/>
      <c r="B290" s="81"/>
      <c r="C290" s="7" t="s">
        <v>246</v>
      </c>
      <c r="D290" s="7"/>
      <c r="E290" s="3" t="s">
        <v>247</v>
      </c>
      <c r="F290" s="130">
        <v>64.099999999999994</v>
      </c>
      <c r="G290" s="130"/>
      <c r="H290" s="130">
        <v>64.099999999999994</v>
      </c>
      <c r="I290" s="130"/>
      <c r="J290" s="130">
        <v>64.099999999999994</v>
      </c>
      <c r="K290" s="130">
        <v>66.7</v>
      </c>
      <c r="L290" s="130"/>
      <c r="M290" s="130">
        <v>66.7</v>
      </c>
      <c r="N290" s="130">
        <v>69.3</v>
      </c>
      <c r="O290" s="130"/>
      <c r="P290" s="130">
        <v>69.3</v>
      </c>
    </row>
    <row r="291" spans="1:16" ht="27" x14ac:dyDescent="0.3">
      <c r="A291" s="81"/>
      <c r="B291" s="81"/>
      <c r="C291" s="7"/>
      <c r="D291" s="7" t="s">
        <v>336</v>
      </c>
      <c r="E291" s="3" t="s">
        <v>337</v>
      </c>
      <c r="F291" s="130">
        <v>64.099999999999994</v>
      </c>
      <c r="G291" s="130"/>
      <c r="H291" s="130">
        <v>64.099999999999994</v>
      </c>
      <c r="I291" s="130"/>
      <c r="J291" s="130">
        <v>64.099999999999994</v>
      </c>
      <c r="K291" s="130">
        <v>66.7</v>
      </c>
      <c r="L291" s="130"/>
      <c r="M291" s="130">
        <v>66.7</v>
      </c>
      <c r="N291" s="130">
        <v>69.3</v>
      </c>
      <c r="O291" s="130"/>
      <c r="P291" s="130">
        <v>69.3</v>
      </c>
    </row>
    <row r="292" spans="1:16" ht="27" x14ac:dyDescent="0.3">
      <c r="A292" s="81"/>
      <c r="B292" s="81"/>
      <c r="C292" s="7" t="s">
        <v>248</v>
      </c>
      <c r="D292" s="7"/>
      <c r="E292" s="3" t="s">
        <v>249</v>
      </c>
      <c r="F292" s="130">
        <v>727.7</v>
      </c>
      <c r="G292" s="130"/>
      <c r="H292" s="130">
        <v>0</v>
      </c>
      <c r="I292" s="130"/>
      <c r="J292" s="130">
        <f t="shared" ref="J292:O292" si="65">J293</f>
        <v>0</v>
      </c>
      <c r="K292" s="130">
        <f t="shared" si="65"/>
        <v>0</v>
      </c>
      <c r="L292" s="130">
        <f t="shared" si="65"/>
        <v>0</v>
      </c>
      <c r="M292" s="130">
        <f t="shared" si="65"/>
        <v>0</v>
      </c>
      <c r="N292" s="130">
        <f t="shared" si="65"/>
        <v>752.39209000000005</v>
      </c>
      <c r="O292" s="130">
        <f t="shared" si="65"/>
        <v>0</v>
      </c>
      <c r="P292" s="130">
        <f>N292+O292</f>
        <v>752.39209000000005</v>
      </c>
    </row>
    <row r="293" spans="1:16" ht="27" x14ac:dyDescent="0.3">
      <c r="A293" s="81"/>
      <c r="B293" s="81"/>
      <c r="C293" s="7"/>
      <c r="D293" s="7" t="s">
        <v>336</v>
      </c>
      <c r="E293" s="3" t="s">
        <v>337</v>
      </c>
      <c r="F293" s="130">
        <v>727.7</v>
      </c>
      <c r="G293" s="130"/>
      <c r="H293" s="130">
        <v>0</v>
      </c>
      <c r="I293" s="130"/>
      <c r="J293" s="130">
        <f>H293+I293</f>
        <v>0</v>
      </c>
      <c r="K293" s="130">
        <v>0</v>
      </c>
      <c r="L293" s="130"/>
      <c r="M293" s="130">
        <f>SUM(K293:L293)</f>
        <v>0</v>
      </c>
      <c r="N293" s="130">
        <v>752.39209000000005</v>
      </c>
      <c r="O293" s="130"/>
      <c r="P293" s="130">
        <f>SUM(N293:O293)</f>
        <v>752.39209000000005</v>
      </c>
    </row>
    <row r="294" spans="1:16" ht="39" x14ac:dyDescent="0.25">
      <c r="A294" s="81"/>
      <c r="B294" s="81"/>
      <c r="C294" s="7" t="s">
        <v>813</v>
      </c>
      <c r="D294" s="7"/>
      <c r="E294" s="3" t="s">
        <v>815</v>
      </c>
      <c r="F294" s="130"/>
      <c r="G294" s="130"/>
      <c r="H294" s="130"/>
      <c r="I294" s="130"/>
      <c r="J294" s="130">
        <v>0</v>
      </c>
      <c r="K294" s="130"/>
      <c r="L294" s="130"/>
      <c r="M294" s="130">
        <v>0</v>
      </c>
      <c r="N294" s="130">
        <f>N295</f>
        <v>3.5430799999999998</v>
      </c>
      <c r="O294" s="130"/>
      <c r="P294" s="130">
        <f>P295</f>
        <v>3.5430799999999998</v>
      </c>
    </row>
    <row r="295" spans="1:16" ht="26.25" x14ac:dyDescent="0.25">
      <c r="A295" s="81"/>
      <c r="B295" s="81"/>
      <c r="C295" s="7"/>
      <c r="D295" s="7" t="s">
        <v>336</v>
      </c>
      <c r="E295" s="3" t="s">
        <v>337</v>
      </c>
      <c r="F295" s="130"/>
      <c r="G295" s="130"/>
      <c r="H295" s="130"/>
      <c r="I295" s="130"/>
      <c r="J295" s="130">
        <v>0</v>
      </c>
      <c r="K295" s="130"/>
      <c r="L295" s="130"/>
      <c r="M295" s="130">
        <v>0</v>
      </c>
      <c r="N295" s="130">
        <f>N296</f>
        <v>3.5430799999999998</v>
      </c>
      <c r="O295" s="130"/>
      <c r="P295" s="130">
        <f>P296</f>
        <v>3.5430799999999998</v>
      </c>
    </row>
    <row r="296" spans="1:16" x14ac:dyDescent="0.25">
      <c r="A296" s="81"/>
      <c r="B296" s="81"/>
      <c r="C296" s="7"/>
      <c r="D296" s="7"/>
      <c r="E296" s="3" t="s">
        <v>485</v>
      </c>
      <c r="F296" s="130"/>
      <c r="G296" s="130"/>
      <c r="H296" s="130"/>
      <c r="I296" s="130"/>
      <c r="J296" s="130">
        <v>0</v>
      </c>
      <c r="K296" s="130"/>
      <c r="L296" s="130"/>
      <c r="M296" s="130">
        <v>0</v>
      </c>
      <c r="N296" s="130">
        <v>3.5430799999999998</v>
      </c>
      <c r="O296" s="130"/>
      <c r="P296" s="130">
        <v>3.5430799999999998</v>
      </c>
    </row>
    <row r="297" spans="1:16" ht="26.45" x14ac:dyDescent="0.3">
      <c r="A297" s="93"/>
      <c r="B297" s="94"/>
      <c r="C297" s="95" t="s">
        <v>346</v>
      </c>
      <c r="D297" s="94"/>
      <c r="E297" s="96" t="s">
        <v>347</v>
      </c>
      <c r="F297" s="138">
        <f t="shared" ref="F297:J299" si="66">F298</f>
        <v>0</v>
      </c>
      <c r="G297" s="138">
        <f t="shared" si="66"/>
        <v>314.50943999999998</v>
      </c>
      <c r="H297" s="138">
        <f t="shared" si="66"/>
        <v>155.23535999999999</v>
      </c>
      <c r="I297" s="138">
        <f t="shared" si="66"/>
        <v>0</v>
      </c>
      <c r="J297" s="138">
        <f t="shared" si="66"/>
        <v>155.23535999999999</v>
      </c>
      <c r="K297" s="138">
        <f t="shared" ref="K297:P299" si="67">K298</f>
        <v>0</v>
      </c>
      <c r="L297" s="138"/>
      <c r="M297" s="138">
        <f t="shared" si="67"/>
        <v>0</v>
      </c>
      <c r="N297" s="138">
        <f t="shared" si="67"/>
        <v>0</v>
      </c>
      <c r="O297" s="138"/>
      <c r="P297" s="138">
        <f t="shared" si="67"/>
        <v>0</v>
      </c>
    </row>
    <row r="298" spans="1:16" ht="14.45" x14ac:dyDescent="0.3">
      <c r="A298" s="34"/>
      <c r="B298" s="34"/>
      <c r="C298" s="34" t="s">
        <v>348</v>
      </c>
      <c r="D298" s="34"/>
      <c r="E298" s="60" t="s">
        <v>349</v>
      </c>
      <c r="F298" s="139">
        <f t="shared" si="66"/>
        <v>0</v>
      </c>
      <c r="G298" s="139">
        <f t="shared" si="66"/>
        <v>314.50943999999998</v>
      </c>
      <c r="H298" s="139">
        <f t="shared" si="66"/>
        <v>155.23535999999999</v>
      </c>
      <c r="I298" s="139">
        <f t="shared" si="66"/>
        <v>0</v>
      </c>
      <c r="J298" s="139">
        <f t="shared" si="66"/>
        <v>155.23535999999999</v>
      </c>
      <c r="K298" s="139">
        <f t="shared" si="67"/>
        <v>0</v>
      </c>
      <c r="L298" s="139"/>
      <c r="M298" s="139">
        <f t="shared" si="67"/>
        <v>0</v>
      </c>
      <c r="N298" s="139">
        <f t="shared" si="67"/>
        <v>0</v>
      </c>
      <c r="O298" s="139"/>
      <c r="P298" s="139">
        <f t="shared" si="67"/>
        <v>0</v>
      </c>
    </row>
    <row r="299" spans="1:16" ht="49.5" customHeight="1" x14ac:dyDescent="0.3">
      <c r="A299" s="36"/>
      <c r="B299" s="36"/>
      <c r="C299" s="36" t="s">
        <v>350</v>
      </c>
      <c r="D299" s="36"/>
      <c r="E299" s="22" t="s">
        <v>351</v>
      </c>
      <c r="F299" s="131">
        <f t="shared" si="66"/>
        <v>0</v>
      </c>
      <c r="G299" s="150">
        <f t="shared" si="66"/>
        <v>314.50943999999998</v>
      </c>
      <c r="H299" s="150">
        <f t="shared" si="66"/>
        <v>155.23535999999999</v>
      </c>
      <c r="I299" s="150">
        <f>I300</f>
        <v>0</v>
      </c>
      <c r="J299" s="150">
        <f t="shared" si="66"/>
        <v>155.23535999999999</v>
      </c>
      <c r="K299" s="131">
        <f t="shared" si="67"/>
        <v>0</v>
      </c>
      <c r="L299" s="131"/>
      <c r="M299" s="131">
        <f t="shared" si="67"/>
        <v>0</v>
      </c>
      <c r="N299" s="131">
        <f t="shared" si="67"/>
        <v>0</v>
      </c>
      <c r="O299" s="131"/>
      <c r="P299" s="131">
        <f t="shared" si="67"/>
        <v>0</v>
      </c>
    </row>
    <row r="300" spans="1:16" ht="40.15" x14ac:dyDescent="0.3">
      <c r="A300" s="81"/>
      <c r="B300" s="81"/>
      <c r="C300" s="24" t="s">
        <v>353</v>
      </c>
      <c r="D300" s="13"/>
      <c r="E300" s="62" t="s">
        <v>786</v>
      </c>
      <c r="F300" s="141">
        <v>0</v>
      </c>
      <c r="G300" s="146">
        <f>G301</f>
        <v>314.50943999999998</v>
      </c>
      <c r="H300" s="130">
        <f>H301</f>
        <v>155.23535999999999</v>
      </c>
      <c r="I300" s="130">
        <f>I301</f>
        <v>0</v>
      </c>
      <c r="J300" s="130">
        <f>J301</f>
        <v>155.23535999999999</v>
      </c>
      <c r="K300" s="130">
        <f>K303+K304</f>
        <v>0</v>
      </c>
      <c r="L300" s="130"/>
      <c r="M300" s="130">
        <f>M303+M304</f>
        <v>0</v>
      </c>
      <c r="N300" s="130">
        <f>N303+N304</f>
        <v>0</v>
      </c>
      <c r="O300" s="130"/>
      <c r="P300" s="130">
        <f>P303+P304</f>
        <v>0</v>
      </c>
    </row>
    <row r="301" spans="1:16" ht="27" x14ac:dyDescent="0.3">
      <c r="A301" s="81"/>
      <c r="B301" s="81"/>
      <c r="C301" s="24"/>
      <c r="D301" s="7" t="s">
        <v>362</v>
      </c>
      <c r="E301" s="3" t="s">
        <v>363</v>
      </c>
      <c r="F301" s="141">
        <v>0</v>
      </c>
      <c r="G301" s="146">
        <f>G304</f>
        <v>314.50943999999998</v>
      </c>
      <c r="H301" s="146">
        <f>H304</f>
        <v>155.23535999999999</v>
      </c>
      <c r="I301" s="146">
        <f>I304</f>
        <v>0</v>
      </c>
      <c r="J301" s="146">
        <f>J304</f>
        <v>155.23535999999999</v>
      </c>
      <c r="K301" s="130">
        <v>0</v>
      </c>
      <c r="L301" s="130"/>
      <c r="M301" s="130">
        <v>0</v>
      </c>
      <c r="N301" s="130">
        <v>0</v>
      </c>
      <c r="O301" s="130"/>
      <c r="P301" s="130">
        <v>0</v>
      </c>
    </row>
    <row r="302" spans="1:16" ht="14.45" x14ac:dyDescent="0.3">
      <c r="A302" s="81"/>
      <c r="B302" s="81"/>
      <c r="C302" s="24"/>
      <c r="D302" s="7"/>
      <c r="E302" s="3" t="s">
        <v>182</v>
      </c>
      <c r="F302" s="141"/>
      <c r="G302" s="146"/>
      <c r="H302" s="130">
        <v>0</v>
      </c>
      <c r="I302" s="130"/>
      <c r="J302" s="130">
        <v>0</v>
      </c>
      <c r="K302" s="130">
        <v>0</v>
      </c>
      <c r="L302" s="130"/>
      <c r="M302" s="130">
        <v>0</v>
      </c>
      <c r="N302" s="130">
        <v>0</v>
      </c>
      <c r="O302" s="130"/>
      <c r="P302" s="130">
        <v>0</v>
      </c>
    </row>
    <row r="303" spans="1:16" ht="14.45" x14ac:dyDescent="0.3">
      <c r="A303" s="81"/>
      <c r="B303" s="81"/>
      <c r="C303" s="24"/>
      <c r="D303" s="13"/>
      <c r="E303" s="62" t="s">
        <v>250</v>
      </c>
      <c r="F303" s="130">
        <v>0</v>
      </c>
      <c r="G303" s="146"/>
      <c r="H303" s="130">
        <v>0</v>
      </c>
      <c r="I303" s="130"/>
      <c r="J303" s="130">
        <v>0</v>
      </c>
      <c r="K303" s="130">
        <v>0</v>
      </c>
      <c r="L303" s="130"/>
      <c r="M303" s="130">
        <v>0</v>
      </c>
      <c r="N303" s="130">
        <v>0</v>
      </c>
      <c r="O303" s="130"/>
      <c r="P303" s="130">
        <v>0</v>
      </c>
    </row>
    <row r="304" spans="1:16" ht="14.45" x14ac:dyDescent="0.3">
      <c r="A304" s="81"/>
      <c r="B304" s="81"/>
      <c r="C304" s="24"/>
      <c r="D304" s="13"/>
      <c r="E304" s="62" t="s">
        <v>354</v>
      </c>
      <c r="F304" s="130">
        <v>0</v>
      </c>
      <c r="G304" s="146">
        <v>314.50943999999998</v>
      </c>
      <c r="H304" s="130">
        <v>155.23535999999999</v>
      </c>
      <c r="I304" s="146"/>
      <c r="J304" s="130">
        <f>SUM(H304:I304)</f>
        <v>155.23535999999999</v>
      </c>
      <c r="K304" s="130">
        <v>0</v>
      </c>
      <c r="L304" s="130"/>
      <c r="M304" s="130">
        <v>0</v>
      </c>
      <c r="N304" s="130">
        <v>0</v>
      </c>
      <c r="O304" s="130"/>
      <c r="P304" s="130">
        <v>0</v>
      </c>
    </row>
    <row r="305" spans="1:18" ht="39.6" x14ac:dyDescent="0.3">
      <c r="A305" s="93"/>
      <c r="B305" s="94"/>
      <c r="C305" s="95" t="s">
        <v>470</v>
      </c>
      <c r="D305" s="94"/>
      <c r="E305" s="96" t="s">
        <v>471</v>
      </c>
      <c r="F305" s="138">
        <f t="shared" ref="F305:P307" si="68">F306</f>
        <v>0</v>
      </c>
      <c r="G305" s="138"/>
      <c r="H305" s="138">
        <f t="shared" si="68"/>
        <v>0</v>
      </c>
      <c r="I305" s="138"/>
      <c r="J305" s="138">
        <f t="shared" si="68"/>
        <v>0</v>
      </c>
      <c r="K305" s="138">
        <f t="shared" si="68"/>
        <v>0</v>
      </c>
      <c r="L305" s="138"/>
      <c r="M305" s="138">
        <f t="shared" si="68"/>
        <v>0</v>
      </c>
      <c r="N305" s="138">
        <f t="shared" si="68"/>
        <v>11652.8</v>
      </c>
      <c r="O305" s="138"/>
      <c r="P305" s="138">
        <f t="shared" si="68"/>
        <v>11652.8</v>
      </c>
    </row>
    <row r="306" spans="1:18" ht="40.15" x14ac:dyDescent="0.3">
      <c r="A306" s="34"/>
      <c r="B306" s="34"/>
      <c r="C306" s="34" t="s">
        <v>472</v>
      </c>
      <c r="D306" s="50"/>
      <c r="E306" s="35" t="s">
        <v>473</v>
      </c>
      <c r="F306" s="139">
        <f t="shared" si="68"/>
        <v>0</v>
      </c>
      <c r="G306" s="139"/>
      <c r="H306" s="139">
        <f t="shared" si="68"/>
        <v>0</v>
      </c>
      <c r="I306" s="139"/>
      <c r="J306" s="139">
        <f t="shared" si="68"/>
        <v>0</v>
      </c>
      <c r="K306" s="139">
        <f t="shared" si="68"/>
        <v>0</v>
      </c>
      <c r="L306" s="139"/>
      <c r="M306" s="139">
        <f t="shared" si="68"/>
        <v>0</v>
      </c>
      <c r="N306" s="139">
        <f t="shared" si="68"/>
        <v>11652.8</v>
      </c>
      <c r="O306" s="139"/>
      <c r="P306" s="139">
        <f t="shared" si="68"/>
        <v>11652.8</v>
      </c>
    </row>
    <row r="307" spans="1:18" ht="48.75" customHeight="1" x14ac:dyDescent="0.3">
      <c r="A307" s="36"/>
      <c r="B307" s="36"/>
      <c r="C307" s="36" t="s">
        <v>607</v>
      </c>
      <c r="D307" s="39"/>
      <c r="E307" s="37" t="s">
        <v>474</v>
      </c>
      <c r="F307" s="151">
        <f t="shared" si="68"/>
        <v>0</v>
      </c>
      <c r="G307" s="151"/>
      <c r="H307" s="151">
        <f t="shared" si="68"/>
        <v>0</v>
      </c>
      <c r="I307" s="151"/>
      <c r="J307" s="151">
        <f t="shared" si="68"/>
        <v>0</v>
      </c>
      <c r="K307" s="151">
        <f t="shared" si="68"/>
        <v>0</v>
      </c>
      <c r="L307" s="151"/>
      <c r="M307" s="151">
        <f t="shared" si="68"/>
        <v>0</v>
      </c>
      <c r="N307" s="151">
        <f>N308</f>
        <v>11652.8</v>
      </c>
      <c r="O307" s="151"/>
      <c r="P307" s="151">
        <f>P308</f>
        <v>11652.8</v>
      </c>
    </row>
    <row r="308" spans="1:18" ht="40.15" x14ac:dyDescent="0.3">
      <c r="A308" s="81"/>
      <c r="B308" s="81"/>
      <c r="C308" s="7" t="s">
        <v>606</v>
      </c>
      <c r="D308" s="7"/>
      <c r="E308" s="3" t="s">
        <v>475</v>
      </c>
      <c r="F308" s="130">
        <v>0</v>
      </c>
      <c r="G308" s="130"/>
      <c r="H308" s="130">
        <v>0</v>
      </c>
      <c r="I308" s="130"/>
      <c r="J308" s="130">
        <v>0</v>
      </c>
      <c r="K308" s="130">
        <v>0</v>
      </c>
      <c r="L308" s="130"/>
      <c r="M308" s="130">
        <v>0</v>
      </c>
      <c r="N308" s="130">
        <v>11652.8</v>
      </c>
      <c r="O308" s="130"/>
      <c r="P308" s="130">
        <v>11652.8</v>
      </c>
    </row>
    <row r="309" spans="1:18" ht="14.45" x14ac:dyDescent="0.3">
      <c r="A309" s="81"/>
      <c r="B309" s="81"/>
      <c r="C309" s="7"/>
      <c r="D309" s="7" t="s">
        <v>534</v>
      </c>
      <c r="E309" s="3" t="s">
        <v>535</v>
      </c>
      <c r="F309" s="130">
        <v>0</v>
      </c>
      <c r="G309" s="130"/>
      <c r="H309" s="130">
        <v>0</v>
      </c>
      <c r="I309" s="130"/>
      <c r="J309" s="130">
        <v>0</v>
      </c>
      <c r="K309" s="130">
        <v>0</v>
      </c>
      <c r="L309" s="130"/>
      <c r="M309" s="130">
        <v>0</v>
      </c>
      <c r="N309" s="130">
        <v>2693.1</v>
      </c>
      <c r="O309" s="130"/>
      <c r="P309" s="130">
        <v>2693.1</v>
      </c>
    </row>
    <row r="310" spans="1:18" ht="14.45" x14ac:dyDescent="0.3">
      <c r="A310" s="81"/>
      <c r="B310" s="81"/>
      <c r="C310" s="7"/>
      <c r="D310" s="7"/>
      <c r="E310" s="10" t="s">
        <v>120</v>
      </c>
      <c r="F310" s="130">
        <v>0</v>
      </c>
      <c r="G310" s="130"/>
      <c r="H310" s="130">
        <v>0</v>
      </c>
      <c r="I310" s="130"/>
      <c r="J310" s="130">
        <v>0</v>
      </c>
      <c r="K310" s="130">
        <v>0</v>
      </c>
      <c r="L310" s="130"/>
      <c r="M310" s="130">
        <v>0</v>
      </c>
      <c r="N310" s="130">
        <v>2693.1</v>
      </c>
      <c r="O310" s="130"/>
      <c r="P310" s="130">
        <v>2693.1</v>
      </c>
    </row>
    <row r="311" spans="1:18" ht="27" x14ac:dyDescent="0.3">
      <c r="A311" s="81"/>
      <c r="B311" s="81"/>
      <c r="C311" s="7"/>
      <c r="D311" s="7" t="s">
        <v>362</v>
      </c>
      <c r="E311" s="3" t="s">
        <v>363</v>
      </c>
      <c r="F311" s="130">
        <v>0</v>
      </c>
      <c r="G311" s="130"/>
      <c r="H311" s="130">
        <v>0</v>
      </c>
      <c r="I311" s="130"/>
      <c r="J311" s="130">
        <v>0</v>
      </c>
      <c r="K311" s="130">
        <v>0</v>
      </c>
      <c r="L311" s="130"/>
      <c r="M311" s="130">
        <v>0</v>
      </c>
      <c r="N311" s="146">
        <v>8959.7000000000007</v>
      </c>
      <c r="O311" s="146"/>
      <c r="P311" s="146">
        <v>8959.7000000000007</v>
      </c>
    </row>
    <row r="312" spans="1:18" ht="14.45" x14ac:dyDescent="0.3">
      <c r="A312" s="81"/>
      <c r="B312" s="81"/>
      <c r="C312" s="7"/>
      <c r="D312" s="7"/>
      <c r="E312" s="10" t="s">
        <v>120</v>
      </c>
      <c r="F312" s="130">
        <v>0</v>
      </c>
      <c r="G312" s="130"/>
      <c r="H312" s="130">
        <v>0</v>
      </c>
      <c r="I312" s="130"/>
      <c r="J312" s="130">
        <v>0</v>
      </c>
      <c r="K312" s="130">
        <v>0</v>
      </c>
      <c r="L312" s="130"/>
      <c r="M312" s="130">
        <v>0</v>
      </c>
      <c r="N312" s="130">
        <v>8959.7000000000007</v>
      </c>
      <c r="O312" s="130"/>
      <c r="P312" s="130">
        <v>8959.7000000000007</v>
      </c>
    </row>
    <row r="313" spans="1:18" ht="14.45" x14ac:dyDescent="0.3">
      <c r="A313" s="85"/>
      <c r="B313" s="18" t="s">
        <v>660</v>
      </c>
      <c r="C313" s="86"/>
      <c r="D313" s="85"/>
      <c r="E313" s="87" t="s">
        <v>661</v>
      </c>
      <c r="F313" s="137">
        <f t="shared" ref="F313:N313" si="69">F314+F364</f>
        <v>9921.7999999999993</v>
      </c>
      <c r="G313" s="137">
        <f t="shared" si="69"/>
        <v>0.11971</v>
      </c>
      <c r="H313" s="137">
        <f t="shared" si="69"/>
        <v>8873.7952099999984</v>
      </c>
      <c r="I313" s="137">
        <f t="shared" si="69"/>
        <v>181.20000000000002</v>
      </c>
      <c r="J313" s="137">
        <f t="shared" si="69"/>
        <v>9054.9952099999991</v>
      </c>
      <c r="K313" s="137">
        <f t="shared" si="69"/>
        <v>6598.7</v>
      </c>
      <c r="L313" s="137">
        <f t="shared" si="69"/>
        <v>0</v>
      </c>
      <c r="M313" s="137">
        <f t="shared" si="69"/>
        <v>6598.7</v>
      </c>
      <c r="N313" s="137">
        <f t="shared" si="69"/>
        <v>3939.8999999999996</v>
      </c>
      <c r="O313" s="137"/>
      <c r="P313" s="137">
        <f>P314+P364</f>
        <v>3939.8999999999996</v>
      </c>
    </row>
    <row r="314" spans="1:18" ht="26.45" x14ac:dyDescent="0.3">
      <c r="A314" s="85"/>
      <c r="B314" s="17"/>
      <c r="C314" s="86" t="s">
        <v>6</v>
      </c>
      <c r="D314" s="85"/>
      <c r="E314" s="90" t="s">
        <v>7</v>
      </c>
      <c r="F314" s="137">
        <f t="shared" ref="F314:P314" si="70">F315</f>
        <v>8942.2999999999993</v>
      </c>
      <c r="G314" s="137">
        <f t="shared" si="70"/>
        <v>0.11971</v>
      </c>
      <c r="H314" s="137">
        <f t="shared" si="70"/>
        <v>7706.655209999999</v>
      </c>
      <c r="I314" s="137">
        <f t="shared" si="70"/>
        <v>181.20000000000002</v>
      </c>
      <c r="J314" s="137">
        <f t="shared" si="70"/>
        <v>7887.8552099999997</v>
      </c>
      <c r="K314" s="137">
        <f t="shared" si="70"/>
        <v>6598.7</v>
      </c>
      <c r="L314" s="137">
        <f t="shared" si="70"/>
        <v>0</v>
      </c>
      <c r="M314" s="137">
        <f t="shared" si="70"/>
        <v>6598.7</v>
      </c>
      <c r="N314" s="137">
        <f t="shared" si="70"/>
        <v>3939.8999999999996</v>
      </c>
      <c r="O314" s="137"/>
      <c r="P314" s="137">
        <f t="shared" si="70"/>
        <v>3939.8999999999996</v>
      </c>
    </row>
    <row r="315" spans="1:18" ht="26.45" x14ac:dyDescent="0.3">
      <c r="A315" s="93"/>
      <c r="B315" s="94"/>
      <c r="C315" s="95" t="s">
        <v>346</v>
      </c>
      <c r="D315" s="94"/>
      <c r="E315" s="96" t="s">
        <v>347</v>
      </c>
      <c r="F315" s="138">
        <f t="shared" ref="F315:N315" si="71">F316+F332+F336</f>
        <v>8942.2999999999993</v>
      </c>
      <c r="G315" s="138">
        <f t="shared" si="71"/>
        <v>0.11971</v>
      </c>
      <c r="H315" s="138">
        <f t="shared" si="71"/>
        <v>7706.655209999999</v>
      </c>
      <c r="I315" s="138">
        <f t="shared" si="71"/>
        <v>181.20000000000002</v>
      </c>
      <c r="J315" s="138">
        <f t="shared" si="71"/>
        <v>7887.8552099999997</v>
      </c>
      <c r="K315" s="138">
        <f t="shared" si="71"/>
        <v>6598.7</v>
      </c>
      <c r="L315" s="138">
        <f t="shared" si="71"/>
        <v>0</v>
      </c>
      <c r="M315" s="138">
        <f t="shared" si="71"/>
        <v>6598.7</v>
      </c>
      <c r="N315" s="138">
        <f t="shared" si="71"/>
        <v>3939.8999999999996</v>
      </c>
      <c r="O315" s="138"/>
      <c r="P315" s="138">
        <f>P316+P332+P336</f>
        <v>3939.8999999999996</v>
      </c>
      <c r="R315" s="45"/>
    </row>
    <row r="316" spans="1:18" ht="14.45" x14ac:dyDescent="0.3">
      <c r="A316" s="34"/>
      <c r="B316" s="34"/>
      <c r="C316" s="34" t="s">
        <v>348</v>
      </c>
      <c r="D316" s="34"/>
      <c r="E316" s="60" t="s">
        <v>349</v>
      </c>
      <c r="F316" s="139">
        <f t="shared" ref="F316:K316" si="72">F317</f>
        <v>1698.3</v>
      </c>
      <c r="G316" s="139">
        <f t="shared" si="72"/>
        <v>0</v>
      </c>
      <c r="H316" s="139">
        <f t="shared" si="72"/>
        <v>1698.3</v>
      </c>
      <c r="I316" s="139">
        <f t="shared" si="72"/>
        <v>0</v>
      </c>
      <c r="J316" s="139">
        <f t="shared" si="72"/>
        <v>1698.3</v>
      </c>
      <c r="K316" s="139">
        <f t="shared" si="72"/>
        <v>0</v>
      </c>
      <c r="L316" s="139"/>
      <c r="M316" s="139">
        <f>M317</f>
        <v>0</v>
      </c>
      <c r="N316" s="139">
        <f>N317</f>
        <v>0</v>
      </c>
      <c r="O316" s="139"/>
      <c r="P316" s="139">
        <f>P317</f>
        <v>0</v>
      </c>
      <c r="R316" s="45"/>
    </row>
    <row r="317" spans="1:18" ht="40.15" x14ac:dyDescent="0.3">
      <c r="A317" s="36"/>
      <c r="B317" s="36"/>
      <c r="C317" s="36" t="s">
        <v>357</v>
      </c>
      <c r="D317" s="39"/>
      <c r="E317" s="22" t="s">
        <v>358</v>
      </c>
      <c r="F317" s="150">
        <f>F320+F326</f>
        <v>1698.3</v>
      </c>
      <c r="G317" s="150"/>
      <c r="H317" s="150">
        <f>H320+H326</f>
        <v>1698.3</v>
      </c>
      <c r="I317" s="150">
        <f>I320+I326</f>
        <v>0</v>
      </c>
      <c r="J317" s="150">
        <f>J320+J326</f>
        <v>1698.3</v>
      </c>
      <c r="K317" s="150">
        <f>K320+K326</f>
        <v>0</v>
      </c>
      <c r="L317" s="150"/>
      <c r="M317" s="150">
        <f>M320+M326</f>
        <v>0</v>
      </c>
      <c r="N317" s="150">
        <f>N320+N326</f>
        <v>0</v>
      </c>
      <c r="O317" s="150"/>
      <c r="P317" s="150">
        <f>P320+P326</f>
        <v>0</v>
      </c>
      <c r="Q317" s="63"/>
    </row>
    <row r="318" spans="1:18" s="44" customFormat="1" ht="27" x14ac:dyDescent="0.3">
      <c r="A318" s="82"/>
      <c r="B318" s="82"/>
      <c r="C318" s="7" t="s">
        <v>584</v>
      </c>
      <c r="D318" s="7"/>
      <c r="E318" s="20" t="s">
        <v>352</v>
      </c>
      <c r="F318" s="130">
        <f>F320+F326</f>
        <v>1698.3</v>
      </c>
      <c r="G318" s="130"/>
      <c r="H318" s="130">
        <f>H320+H326</f>
        <v>1698.3</v>
      </c>
      <c r="I318" s="130"/>
      <c r="J318" s="130">
        <f>J320+J326</f>
        <v>1698.3</v>
      </c>
      <c r="K318" s="130">
        <f>K320+K326</f>
        <v>0</v>
      </c>
      <c r="L318" s="130"/>
      <c r="M318" s="130">
        <f>M320+M326</f>
        <v>0</v>
      </c>
      <c r="N318" s="130">
        <f>N320+N326</f>
        <v>0</v>
      </c>
      <c r="O318" s="130"/>
      <c r="P318" s="130">
        <f>P320+P326</f>
        <v>0</v>
      </c>
      <c r="Q318" s="64"/>
    </row>
    <row r="319" spans="1:18" s="44" customFormat="1" ht="14.45" x14ac:dyDescent="0.3">
      <c r="A319" s="82"/>
      <c r="B319" s="82"/>
      <c r="C319" s="7"/>
      <c r="D319" s="7"/>
      <c r="E319" s="20" t="s">
        <v>286</v>
      </c>
      <c r="F319" s="130"/>
      <c r="G319" s="130"/>
      <c r="H319" s="130"/>
      <c r="I319" s="130"/>
      <c r="J319" s="130"/>
      <c r="K319" s="130"/>
      <c r="L319" s="130"/>
      <c r="M319" s="130"/>
      <c r="N319" s="130"/>
      <c r="O319" s="130"/>
      <c r="P319" s="130"/>
      <c r="Q319" s="64"/>
    </row>
    <row r="320" spans="1:18" ht="14.45" x14ac:dyDescent="0.3">
      <c r="A320" s="81"/>
      <c r="B320" s="81"/>
      <c r="C320" s="7" t="s">
        <v>584</v>
      </c>
      <c r="D320" s="7"/>
      <c r="E320" s="61" t="s">
        <v>359</v>
      </c>
      <c r="F320" s="141">
        <f>F322+F323+F324+F325</f>
        <v>1428</v>
      </c>
      <c r="G320" s="141"/>
      <c r="H320" s="141">
        <f>H322+H323+H324+H325</f>
        <v>1428</v>
      </c>
      <c r="I320" s="141"/>
      <c r="J320" s="141">
        <f>J322+J323+J324+J325</f>
        <v>1428</v>
      </c>
      <c r="K320" s="141">
        <v>0</v>
      </c>
      <c r="L320" s="141"/>
      <c r="M320" s="141">
        <v>0</v>
      </c>
      <c r="N320" s="141">
        <v>0</v>
      </c>
      <c r="O320" s="141"/>
      <c r="P320" s="141">
        <v>0</v>
      </c>
      <c r="Q320" s="63"/>
    </row>
    <row r="321" spans="1:17" ht="27" x14ac:dyDescent="0.3">
      <c r="A321" s="81"/>
      <c r="B321" s="81"/>
      <c r="C321" s="7"/>
      <c r="D321" s="7" t="s">
        <v>362</v>
      </c>
      <c r="E321" s="3" t="s">
        <v>363</v>
      </c>
      <c r="F321" s="141">
        <v>1428</v>
      </c>
      <c r="G321" s="141"/>
      <c r="H321" s="165">
        <v>1428</v>
      </c>
      <c r="I321" s="165"/>
      <c r="J321" s="165">
        <v>1428</v>
      </c>
      <c r="K321" s="141">
        <v>0</v>
      </c>
      <c r="L321" s="141"/>
      <c r="M321" s="141">
        <v>0</v>
      </c>
      <c r="N321" s="141">
        <v>0</v>
      </c>
      <c r="O321" s="141"/>
      <c r="P321" s="141">
        <v>0</v>
      </c>
      <c r="Q321" s="63"/>
    </row>
    <row r="322" spans="1:17" x14ac:dyDescent="0.25">
      <c r="A322" s="81"/>
      <c r="B322" s="81"/>
      <c r="C322" s="7"/>
      <c r="D322" s="7"/>
      <c r="E322" s="62" t="s">
        <v>182</v>
      </c>
      <c r="F322" s="130">
        <v>0</v>
      </c>
      <c r="G322" s="130"/>
      <c r="H322" s="146">
        <v>0</v>
      </c>
      <c r="I322" s="146"/>
      <c r="J322" s="146">
        <v>0</v>
      </c>
      <c r="K322" s="130"/>
      <c r="L322" s="130"/>
      <c r="M322" s="130">
        <v>0</v>
      </c>
      <c r="N322" s="130"/>
      <c r="O322" s="130"/>
      <c r="P322" s="130">
        <v>0</v>
      </c>
      <c r="Q322" s="63"/>
    </row>
    <row r="323" spans="1:17" x14ac:dyDescent="0.25">
      <c r="A323" s="81"/>
      <c r="B323" s="81"/>
      <c r="C323" s="7"/>
      <c r="D323" s="7"/>
      <c r="E323" s="62" t="s">
        <v>250</v>
      </c>
      <c r="F323" s="130">
        <v>0</v>
      </c>
      <c r="G323" s="130"/>
      <c r="H323" s="146">
        <v>0</v>
      </c>
      <c r="I323" s="146"/>
      <c r="J323" s="146">
        <v>0</v>
      </c>
      <c r="K323" s="130"/>
      <c r="L323" s="130"/>
      <c r="M323" s="130">
        <v>0</v>
      </c>
      <c r="N323" s="130"/>
      <c r="O323" s="130"/>
      <c r="P323" s="130">
        <v>0</v>
      </c>
      <c r="Q323" s="63"/>
    </row>
    <row r="324" spans="1:17" x14ac:dyDescent="0.25">
      <c r="A324" s="81"/>
      <c r="B324" s="81"/>
      <c r="C324" s="7"/>
      <c r="D324" s="7"/>
      <c r="E324" s="62" t="s">
        <v>354</v>
      </c>
      <c r="F324" s="146">
        <v>1428</v>
      </c>
      <c r="G324" s="146"/>
      <c r="H324" s="146">
        <v>1428</v>
      </c>
      <c r="I324" s="146"/>
      <c r="J324" s="146">
        <v>1428</v>
      </c>
      <c r="K324" s="146"/>
      <c r="L324" s="146"/>
      <c r="M324" s="146">
        <v>0</v>
      </c>
      <c r="N324" s="146"/>
      <c r="O324" s="146"/>
      <c r="P324" s="146">
        <v>0</v>
      </c>
      <c r="Q324" s="63"/>
    </row>
    <row r="325" spans="1:17" x14ac:dyDescent="0.25">
      <c r="A325" s="81"/>
      <c r="B325" s="81"/>
      <c r="C325" s="7"/>
      <c r="D325" s="7"/>
      <c r="E325" s="62" t="s">
        <v>360</v>
      </c>
      <c r="F325" s="130">
        <v>0</v>
      </c>
      <c r="G325" s="130"/>
      <c r="H325" s="146">
        <v>0</v>
      </c>
      <c r="I325" s="146"/>
      <c r="J325" s="146">
        <v>0</v>
      </c>
      <c r="K325" s="130"/>
      <c r="L325" s="130"/>
      <c r="M325" s="130">
        <v>0</v>
      </c>
      <c r="N325" s="130"/>
      <c r="O325" s="130"/>
      <c r="P325" s="130">
        <v>0</v>
      </c>
      <c r="Q325" s="63"/>
    </row>
    <row r="326" spans="1:17" ht="40.15" x14ac:dyDescent="0.3">
      <c r="A326" s="81"/>
      <c r="B326" s="81"/>
      <c r="C326" s="7" t="s">
        <v>584</v>
      </c>
      <c r="D326" s="7"/>
      <c r="E326" s="61" t="s">
        <v>361</v>
      </c>
      <c r="F326" s="141">
        <f>F327</f>
        <v>270.3</v>
      </c>
      <c r="G326" s="141"/>
      <c r="H326" s="165">
        <f>H327</f>
        <v>270.3</v>
      </c>
      <c r="I326" s="165">
        <f t="shared" ref="I326:J326" si="73">I327</f>
        <v>0</v>
      </c>
      <c r="J326" s="165">
        <f t="shared" si="73"/>
        <v>270.3</v>
      </c>
      <c r="K326" s="141">
        <f>K327</f>
        <v>0</v>
      </c>
      <c r="L326" s="141"/>
      <c r="M326" s="141">
        <f>M327</f>
        <v>0</v>
      </c>
      <c r="N326" s="141">
        <f>N327</f>
        <v>0</v>
      </c>
      <c r="O326" s="141"/>
      <c r="P326" s="141">
        <f>P327</f>
        <v>0</v>
      </c>
      <c r="Q326" s="63"/>
    </row>
    <row r="327" spans="1:17" ht="27" x14ac:dyDescent="0.3">
      <c r="A327" s="81"/>
      <c r="B327" s="81"/>
      <c r="C327" s="7"/>
      <c r="D327" s="7" t="s">
        <v>362</v>
      </c>
      <c r="E327" s="3" t="s">
        <v>363</v>
      </c>
      <c r="F327" s="130">
        <f>F328+F329+F330+F331</f>
        <v>270.3</v>
      </c>
      <c r="G327" s="130"/>
      <c r="H327" s="146">
        <f>H328+H329+H330+H331</f>
        <v>270.3</v>
      </c>
      <c r="I327" s="146"/>
      <c r="J327" s="146">
        <f>J328+J329+J330+J331</f>
        <v>270.3</v>
      </c>
      <c r="K327" s="130">
        <v>0</v>
      </c>
      <c r="L327" s="130"/>
      <c r="M327" s="130">
        <v>0</v>
      </c>
      <c r="N327" s="130">
        <v>0</v>
      </c>
      <c r="O327" s="130"/>
      <c r="P327" s="130">
        <v>0</v>
      </c>
      <c r="Q327" s="63"/>
    </row>
    <row r="328" spans="1:17" x14ac:dyDescent="0.25">
      <c r="A328" s="81"/>
      <c r="B328" s="81"/>
      <c r="C328" s="7"/>
      <c r="D328" s="7"/>
      <c r="E328" s="62" t="s">
        <v>182</v>
      </c>
      <c r="F328" s="130">
        <v>0</v>
      </c>
      <c r="G328" s="130"/>
      <c r="H328" s="130">
        <v>0</v>
      </c>
      <c r="I328" s="130"/>
      <c r="J328" s="130">
        <v>0</v>
      </c>
      <c r="K328" s="130"/>
      <c r="L328" s="130"/>
      <c r="M328" s="130">
        <v>0</v>
      </c>
      <c r="N328" s="130"/>
      <c r="O328" s="130"/>
      <c r="P328" s="130">
        <v>0</v>
      </c>
      <c r="Q328" s="63"/>
    </row>
    <row r="329" spans="1:17" x14ac:dyDescent="0.25">
      <c r="A329" s="81"/>
      <c r="B329" s="81"/>
      <c r="C329" s="7"/>
      <c r="D329" s="7"/>
      <c r="E329" s="62" t="s">
        <v>250</v>
      </c>
      <c r="F329" s="130">
        <v>0</v>
      </c>
      <c r="G329" s="130"/>
      <c r="H329" s="130">
        <v>0</v>
      </c>
      <c r="I329" s="130"/>
      <c r="J329" s="130">
        <v>0</v>
      </c>
      <c r="K329" s="130"/>
      <c r="L329" s="130"/>
      <c r="M329" s="130">
        <v>0</v>
      </c>
      <c r="N329" s="130"/>
      <c r="O329" s="130"/>
      <c r="P329" s="130">
        <v>0</v>
      </c>
      <c r="Q329" s="63"/>
    </row>
    <row r="330" spans="1:17" x14ac:dyDescent="0.25">
      <c r="A330" s="81"/>
      <c r="B330" s="81"/>
      <c r="C330" s="7"/>
      <c r="D330" s="7"/>
      <c r="E330" s="62" t="s">
        <v>354</v>
      </c>
      <c r="F330" s="146">
        <v>270.3</v>
      </c>
      <c r="G330" s="146"/>
      <c r="H330" s="146">
        <v>270.3</v>
      </c>
      <c r="I330" s="146"/>
      <c r="J330" s="146">
        <v>270.3</v>
      </c>
      <c r="K330" s="146"/>
      <c r="L330" s="146"/>
      <c r="M330" s="146">
        <v>0</v>
      </c>
      <c r="N330" s="146"/>
      <c r="O330" s="146"/>
      <c r="P330" s="146">
        <v>0</v>
      </c>
      <c r="Q330" s="63"/>
    </row>
    <row r="331" spans="1:17" x14ac:dyDescent="0.25">
      <c r="A331" s="81"/>
      <c r="B331" s="81"/>
      <c r="C331" s="7"/>
      <c r="D331" s="7"/>
      <c r="E331" s="62" t="s">
        <v>360</v>
      </c>
      <c r="F331" s="130">
        <v>0</v>
      </c>
      <c r="G331" s="130"/>
      <c r="H331" s="130">
        <v>0</v>
      </c>
      <c r="I331" s="130"/>
      <c r="J331" s="130">
        <v>0</v>
      </c>
      <c r="K331" s="130"/>
      <c r="L331" s="130"/>
      <c r="M331" s="130">
        <v>0</v>
      </c>
      <c r="N331" s="130"/>
      <c r="O331" s="130"/>
      <c r="P331" s="130">
        <v>0</v>
      </c>
      <c r="Q331" s="63"/>
    </row>
    <row r="332" spans="1:17" ht="27" x14ac:dyDescent="0.3">
      <c r="A332" s="34"/>
      <c r="B332" s="34"/>
      <c r="C332" s="34" t="s">
        <v>364</v>
      </c>
      <c r="D332" s="34"/>
      <c r="E332" s="60" t="s">
        <v>365</v>
      </c>
      <c r="F332" s="139">
        <f>F333</f>
        <v>286.2</v>
      </c>
      <c r="G332" s="139"/>
      <c r="H332" s="139">
        <f t="shared" ref="H332:P333" si="74">H333</f>
        <v>315.86599000000001</v>
      </c>
      <c r="I332" s="139">
        <f>I333</f>
        <v>0</v>
      </c>
      <c r="J332" s="139">
        <f t="shared" si="74"/>
        <v>315.86599000000001</v>
      </c>
      <c r="K332" s="139">
        <f t="shared" si="74"/>
        <v>400</v>
      </c>
      <c r="L332" s="139"/>
      <c r="M332" s="139">
        <f t="shared" si="74"/>
        <v>400</v>
      </c>
      <c r="N332" s="139">
        <f t="shared" si="74"/>
        <v>0</v>
      </c>
      <c r="O332" s="139"/>
      <c r="P332" s="139">
        <f t="shared" si="74"/>
        <v>0</v>
      </c>
    </row>
    <row r="333" spans="1:17" ht="26.25" customHeight="1" x14ac:dyDescent="0.3">
      <c r="A333" s="36"/>
      <c r="B333" s="36"/>
      <c r="C333" s="36" t="s">
        <v>373</v>
      </c>
      <c r="D333" s="39"/>
      <c r="E333" s="22" t="s">
        <v>374</v>
      </c>
      <c r="F333" s="131">
        <f>F334</f>
        <v>286.2</v>
      </c>
      <c r="G333" s="131"/>
      <c r="H333" s="131">
        <f t="shared" si="74"/>
        <v>315.86599000000001</v>
      </c>
      <c r="I333" s="131">
        <f>I334</f>
        <v>0</v>
      </c>
      <c r="J333" s="131">
        <f t="shared" si="74"/>
        <v>315.86599000000001</v>
      </c>
      <c r="K333" s="131">
        <f t="shared" si="74"/>
        <v>400</v>
      </c>
      <c r="L333" s="131"/>
      <c r="M333" s="131">
        <f t="shared" si="74"/>
        <v>400</v>
      </c>
      <c r="N333" s="131">
        <f t="shared" si="74"/>
        <v>0</v>
      </c>
      <c r="O333" s="131"/>
      <c r="P333" s="131">
        <f t="shared" si="74"/>
        <v>0</v>
      </c>
    </row>
    <row r="334" spans="1:17" ht="14.45" x14ac:dyDescent="0.3">
      <c r="A334" s="81"/>
      <c r="B334" s="81"/>
      <c r="C334" s="7" t="s">
        <v>377</v>
      </c>
      <c r="D334" s="24"/>
      <c r="E334" s="65" t="s">
        <v>378</v>
      </c>
      <c r="F334" s="146">
        <v>286.2</v>
      </c>
      <c r="G334" s="146"/>
      <c r="H334" s="146">
        <f>H335</f>
        <v>315.86599000000001</v>
      </c>
      <c r="I334" s="146">
        <f>I335</f>
        <v>0</v>
      </c>
      <c r="J334" s="146">
        <f>J335</f>
        <v>315.86599000000001</v>
      </c>
      <c r="K334" s="146">
        <v>400</v>
      </c>
      <c r="L334" s="146"/>
      <c r="M334" s="146">
        <v>400</v>
      </c>
      <c r="N334" s="146">
        <v>0</v>
      </c>
      <c r="O334" s="146"/>
      <c r="P334" s="146">
        <v>0</v>
      </c>
    </row>
    <row r="335" spans="1:17" ht="27" x14ac:dyDescent="0.3">
      <c r="A335" s="81"/>
      <c r="B335" s="81"/>
      <c r="C335" s="7"/>
      <c r="D335" s="7" t="s">
        <v>336</v>
      </c>
      <c r="E335" s="3" t="s">
        <v>337</v>
      </c>
      <c r="F335" s="146">
        <v>286.2</v>
      </c>
      <c r="G335" s="146"/>
      <c r="H335" s="146">
        <v>315.86599000000001</v>
      </c>
      <c r="I335" s="146"/>
      <c r="J335" s="146">
        <f>SUM(H335:I335)</f>
        <v>315.86599000000001</v>
      </c>
      <c r="K335" s="146">
        <v>400</v>
      </c>
      <c r="L335" s="146"/>
      <c r="M335" s="146">
        <v>400</v>
      </c>
      <c r="N335" s="146">
        <v>0</v>
      </c>
      <c r="O335" s="146"/>
      <c r="P335" s="146">
        <v>0</v>
      </c>
    </row>
    <row r="336" spans="1:17" ht="27" x14ac:dyDescent="0.3">
      <c r="A336" s="34"/>
      <c r="B336" s="34"/>
      <c r="C336" s="34" t="s">
        <v>385</v>
      </c>
      <c r="D336" s="34"/>
      <c r="E336" s="60" t="s">
        <v>386</v>
      </c>
      <c r="F336" s="139">
        <f t="shared" ref="F336:N336" si="75">F337+F346+F359</f>
        <v>6957.8</v>
      </c>
      <c r="G336" s="139">
        <f t="shared" si="75"/>
        <v>0.11971</v>
      </c>
      <c r="H336" s="139">
        <f t="shared" si="75"/>
        <v>5692.4892199999995</v>
      </c>
      <c r="I336" s="139">
        <f>I337+I346+I359</f>
        <v>181.20000000000002</v>
      </c>
      <c r="J336" s="139">
        <f t="shared" si="75"/>
        <v>5873.6892200000002</v>
      </c>
      <c r="K336" s="139">
        <f t="shared" si="75"/>
        <v>6198.7</v>
      </c>
      <c r="L336" s="139">
        <f>L337+L346+L359</f>
        <v>0</v>
      </c>
      <c r="M336" s="139">
        <f>M337+M346+M359</f>
        <v>6198.7</v>
      </c>
      <c r="N336" s="139">
        <f t="shared" si="75"/>
        <v>3939.8999999999996</v>
      </c>
      <c r="O336" s="139"/>
      <c r="P336" s="139">
        <f>P337+P346+P359</f>
        <v>3939.8999999999996</v>
      </c>
    </row>
    <row r="337" spans="1:18" ht="40.15" x14ac:dyDescent="0.3">
      <c r="A337" s="36"/>
      <c r="B337" s="36"/>
      <c r="C337" s="36" t="s">
        <v>387</v>
      </c>
      <c r="D337" s="36"/>
      <c r="E337" s="22" t="s">
        <v>388</v>
      </c>
      <c r="F337" s="131">
        <f>F338+F342+F344</f>
        <v>4201.2</v>
      </c>
      <c r="G337" s="131"/>
      <c r="H337" s="131">
        <f t="shared" ref="H337:N337" si="76">H338+H342+H344</f>
        <v>3510.86951</v>
      </c>
      <c r="I337" s="131">
        <f t="shared" si="76"/>
        <v>133.30000000000001</v>
      </c>
      <c r="J337" s="131">
        <f t="shared" si="76"/>
        <v>3644.1695100000002</v>
      </c>
      <c r="K337" s="131">
        <f t="shared" si="76"/>
        <v>6198.7</v>
      </c>
      <c r="L337" s="131">
        <f>L338+L342+L344</f>
        <v>0</v>
      </c>
      <c r="M337" s="131">
        <f t="shared" si="76"/>
        <v>6198.7</v>
      </c>
      <c r="N337" s="131">
        <f t="shared" si="76"/>
        <v>3409.1</v>
      </c>
      <c r="O337" s="131"/>
      <c r="P337" s="131">
        <f>P338+P342+P344</f>
        <v>3409.1</v>
      </c>
    </row>
    <row r="338" spans="1:18" ht="27" x14ac:dyDescent="0.3">
      <c r="A338" s="7"/>
      <c r="B338" s="7"/>
      <c r="C338" s="7" t="s">
        <v>389</v>
      </c>
      <c r="D338" s="7"/>
      <c r="E338" s="65" t="s">
        <v>390</v>
      </c>
      <c r="F338" s="146">
        <v>3091.9</v>
      </c>
      <c r="G338" s="146"/>
      <c r="H338" s="146">
        <f t="shared" ref="H338" si="77">H339</f>
        <v>2776.7</v>
      </c>
      <c r="I338" s="146">
        <f>I339+I341</f>
        <v>133.30000000000001</v>
      </c>
      <c r="J338" s="146">
        <f>J339+J341</f>
        <v>2910</v>
      </c>
      <c r="K338" s="146">
        <f>K339+K340</f>
        <v>6136.3</v>
      </c>
      <c r="L338" s="146">
        <f>L339+L340</f>
        <v>0</v>
      </c>
      <c r="M338" s="146">
        <f>M339+M340</f>
        <v>6136.3</v>
      </c>
      <c r="N338" s="146">
        <v>3344.2</v>
      </c>
      <c r="O338" s="146"/>
      <c r="P338" s="146">
        <v>3344.2</v>
      </c>
      <c r="Q338" s="45"/>
      <c r="R338" s="45"/>
    </row>
    <row r="339" spans="1:18" ht="27" x14ac:dyDescent="0.3">
      <c r="A339" s="13"/>
      <c r="B339" s="13"/>
      <c r="C339" s="13"/>
      <c r="D339" s="7" t="s">
        <v>336</v>
      </c>
      <c r="E339" s="3" t="s">
        <v>337</v>
      </c>
      <c r="F339" s="146">
        <v>3091.9</v>
      </c>
      <c r="G339" s="146"/>
      <c r="H339" s="146">
        <v>2776.7</v>
      </c>
      <c r="I339" s="278">
        <f>-23.9+13.9</f>
        <v>-9.9999999999999982</v>
      </c>
      <c r="J339" s="146">
        <f>H339+I339</f>
        <v>2766.7</v>
      </c>
      <c r="K339" s="146">
        <v>1043.8</v>
      </c>
      <c r="L339" s="146"/>
      <c r="M339" s="146">
        <f>SUM(K339:L339)</f>
        <v>1043.8</v>
      </c>
      <c r="N339" s="146">
        <v>3344.2</v>
      </c>
      <c r="O339" s="146"/>
      <c r="P339" s="146">
        <v>3344.2</v>
      </c>
    </row>
    <row r="340" spans="1:18" ht="27" x14ac:dyDescent="0.3">
      <c r="A340" s="13"/>
      <c r="B340" s="13"/>
      <c r="C340" s="13"/>
      <c r="D340" s="7" t="s">
        <v>362</v>
      </c>
      <c r="E340" s="3" t="s">
        <v>363</v>
      </c>
      <c r="F340" s="146"/>
      <c r="G340" s="146"/>
      <c r="H340" s="146"/>
      <c r="I340" s="130"/>
      <c r="J340" s="146">
        <v>0</v>
      </c>
      <c r="K340" s="146">
        <v>5092.5</v>
      </c>
      <c r="L340" s="146"/>
      <c r="M340" s="146">
        <v>5092.5</v>
      </c>
      <c r="N340" s="146"/>
      <c r="O340" s="146"/>
      <c r="P340" s="146">
        <v>0</v>
      </c>
    </row>
    <row r="341" spans="1:18" ht="26.25" x14ac:dyDescent="0.25">
      <c r="A341" s="13"/>
      <c r="B341" s="13"/>
      <c r="C341" s="13"/>
      <c r="D341" s="24" t="s">
        <v>608</v>
      </c>
      <c r="E341" s="3" t="s">
        <v>609</v>
      </c>
      <c r="F341" s="146"/>
      <c r="G341" s="146"/>
      <c r="H341" s="146"/>
      <c r="I341" s="130">
        <v>143.30000000000001</v>
      </c>
      <c r="J341" s="146">
        <f>I341</f>
        <v>143.30000000000001</v>
      </c>
      <c r="K341" s="146"/>
      <c r="L341" s="146"/>
      <c r="M341" s="146">
        <v>0</v>
      </c>
      <c r="N341" s="146"/>
      <c r="O341" s="146"/>
      <c r="P341" s="146">
        <v>0</v>
      </c>
    </row>
    <row r="342" spans="1:18" ht="26.25" x14ac:dyDescent="0.25">
      <c r="A342" s="7"/>
      <c r="B342" s="7"/>
      <c r="C342" s="7" t="s">
        <v>391</v>
      </c>
      <c r="D342" s="7"/>
      <c r="E342" s="20" t="s">
        <v>392</v>
      </c>
      <c r="F342" s="130">
        <v>564.79999999999995</v>
      </c>
      <c r="G342" s="130"/>
      <c r="H342" s="130">
        <v>564.79999999999995</v>
      </c>
      <c r="I342" s="130"/>
      <c r="J342" s="130">
        <v>564.79999999999995</v>
      </c>
      <c r="K342" s="130"/>
      <c r="L342" s="130"/>
      <c r="M342" s="130">
        <v>0</v>
      </c>
      <c r="N342" s="130"/>
      <c r="O342" s="130"/>
      <c r="P342" s="130">
        <v>0</v>
      </c>
    </row>
    <row r="343" spans="1:18" ht="26.25" x14ac:dyDescent="0.25">
      <c r="A343" s="13"/>
      <c r="B343" s="13"/>
      <c r="C343" s="13"/>
      <c r="D343" s="7" t="s">
        <v>336</v>
      </c>
      <c r="E343" s="3" t="s">
        <v>337</v>
      </c>
      <c r="F343" s="130">
        <v>564.79999999999995</v>
      </c>
      <c r="G343" s="130"/>
      <c r="H343" s="130">
        <v>564.79999999999995</v>
      </c>
      <c r="I343" s="130"/>
      <c r="J343" s="130">
        <v>564.79999999999995</v>
      </c>
      <c r="K343" s="130"/>
      <c r="L343" s="130"/>
      <c r="M343" s="130">
        <v>0</v>
      </c>
      <c r="N343" s="130"/>
      <c r="O343" s="130"/>
      <c r="P343" s="130">
        <v>0</v>
      </c>
    </row>
    <row r="344" spans="1:18" ht="40.15" x14ac:dyDescent="0.3">
      <c r="A344" s="7"/>
      <c r="B344" s="7"/>
      <c r="C344" s="7" t="s">
        <v>589</v>
      </c>
      <c r="D344" s="7"/>
      <c r="E344" s="3" t="s">
        <v>393</v>
      </c>
      <c r="F344" s="130">
        <v>544.5</v>
      </c>
      <c r="G344" s="130"/>
      <c r="H344" s="130">
        <f>H345</f>
        <v>169.36950999999999</v>
      </c>
      <c r="I344" s="130">
        <f>I345</f>
        <v>0</v>
      </c>
      <c r="J344" s="130">
        <f>J345</f>
        <v>169.36950999999999</v>
      </c>
      <c r="K344" s="130">
        <v>62.4</v>
      </c>
      <c r="L344" s="130"/>
      <c r="M344" s="130">
        <f>M345</f>
        <v>62.4</v>
      </c>
      <c r="N344" s="130">
        <v>64.900000000000006</v>
      </c>
      <c r="O344" s="130"/>
      <c r="P344" s="130">
        <v>64.900000000000006</v>
      </c>
    </row>
    <row r="345" spans="1:18" ht="27" x14ac:dyDescent="0.3">
      <c r="A345" s="7"/>
      <c r="B345" s="7"/>
      <c r="C345" s="7"/>
      <c r="D345" s="7" t="s">
        <v>336</v>
      </c>
      <c r="E345" s="3" t="s">
        <v>337</v>
      </c>
      <c r="F345" s="130">
        <v>544.5</v>
      </c>
      <c r="G345" s="130"/>
      <c r="H345" s="130">
        <v>169.36950999999999</v>
      </c>
      <c r="I345" s="146"/>
      <c r="J345" s="130">
        <f>SUM(H345:I345)</f>
        <v>169.36950999999999</v>
      </c>
      <c r="K345" s="130">
        <v>62.4</v>
      </c>
      <c r="L345" s="130"/>
      <c r="M345" s="130">
        <f>SUM(K345:L345)</f>
        <v>62.4</v>
      </c>
      <c r="N345" s="130">
        <v>64.900000000000006</v>
      </c>
      <c r="O345" s="130"/>
      <c r="P345" s="130">
        <v>64.900000000000006</v>
      </c>
    </row>
    <row r="346" spans="1:18" ht="27" x14ac:dyDescent="0.3">
      <c r="A346" s="36"/>
      <c r="B346" s="36"/>
      <c r="C346" s="36" t="s">
        <v>394</v>
      </c>
      <c r="D346" s="36"/>
      <c r="E346" s="22" t="s">
        <v>395</v>
      </c>
      <c r="F346" s="131">
        <f>F347+F349+F351+F353</f>
        <v>490.8</v>
      </c>
      <c r="G346" s="131">
        <f>G347+G349+G351+G353+G355</f>
        <v>0.11971</v>
      </c>
      <c r="H346" s="131">
        <f>H347+H349+H351+H353+H355</f>
        <v>727.51971000000003</v>
      </c>
      <c r="I346" s="131">
        <f>I347</f>
        <v>47.9</v>
      </c>
      <c r="J346" s="131">
        <f>J347+J349+J351+J353+J355</f>
        <v>775.41971000000012</v>
      </c>
      <c r="K346" s="131">
        <f>K347+K349+K351+K353</f>
        <v>0</v>
      </c>
      <c r="L346" s="131">
        <f>L347+L349+L351+L353</f>
        <v>0</v>
      </c>
      <c r="M346" s="131">
        <f>M347+M349+M351+M353</f>
        <v>0</v>
      </c>
      <c r="N346" s="131">
        <f>N347+N349+N351+N353</f>
        <v>530.79999999999995</v>
      </c>
      <c r="O346" s="131"/>
      <c r="P346" s="131">
        <f>P347+P349+P351+P353</f>
        <v>530.79999999999995</v>
      </c>
    </row>
    <row r="347" spans="1:18" ht="26.45" x14ac:dyDescent="0.3">
      <c r="A347" s="7"/>
      <c r="B347" s="7"/>
      <c r="C347" s="7" t="s">
        <v>396</v>
      </c>
      <c r="D347" s="17"/>
      <c r="E347" s="1" t="s">
        <v>397</v>
      </c>
      <c r="F347" s="130">
        <v>490.8</v>
      </c>
      <c r="G347" s="130"/>
      <c r="H347" s="130">
        <v>490.8</v>
      </c>
      <c r="I347" s="278">
        <f>I348</f>
        <v>47.9</v>
      </c>
      <c r="J347" s="130">
        <f>J348</f>
        <v>538.70000000000005</v>
      </c>
      <c r="K347" s="130">
        <v>0</v>
      </c>
      <c r="L347" s="130">
        <f>L348</f>
        <v>0</v>
      </c>
      <c r="M347" s="130">
        <v>0</v>
      </c>
      <c r="N347" s="130">
        <v>530.79999999999995</v>
      </c>
      <c r="O347" s="130"/>
      <c r="P347" s="130">
        <v>530.79999999999995</v>
      </c>
    </row>
    <row r="348" spans="1:18" ht="27" x14ac:dyDescent="0.3">
      <c r="A348" s="7"/>
      <c r="B348" s="7"/>
      <c r="C348" s="7"/>
      <c r="D348" s="7" t="s">
        <v>336</v>
      </c>
      <c r="E348" s="3" t="s">
        <v>337</v>
      </c>
      <c r="F348" s="130">
        <v>490.8</v>
      </c>
      <c r="G348" s="130"/>
      <c r="H348" s="130">
        <v>490.8</v>
      </c>
      <c r="I348" s="278">
        <v>47.9</v>
      </c>
      <c r="J348" s="130">
        <f>SUM(H348:I348)</f>
        <v>538.70000000000005</v>
      </c>
      <c r="K348" s="130">
        <v>0</v>
      </c>
      <c r="L348" s="130"/>
      <c r="M348" s="130">
        <v>0</v>
      </c>
      <c r="N348" s="130">
        <v>530.79999999999995</v>
      </c>
      <c r="O348" s="130"/>
      <c r="P348" s="130">
        <v>530.79999999999995</v>
      </c>
    </row>
    <row r="349" spans="1:18" ht="14.45" x14ac:dyDescent="0.3">
      <c r="A349" s="7"/>
      <c r="B349" s="7"/>
      <c r="C349" s="7" t="s">
        <v>590</v>
      </c>
      <c r="D349" s="4"/>
      <c r="E349" s="20" t="s">
        <v>404</v>
      </c>
      <c r="F349" s="130">
        <v>0</v>
      </c>
      <c r="G349" s="130"/>
      <c r="H349" s="130">
        <v>0</v>
      </c>
      <c r="I349" s="130"/>
      <c r="J349" s="130">
        <v>0</v>
      </c>
      <c r="K349" s="130">
        <f>K350</f>
        <v>0</v>
      </c>
      <c r="L349" s="130"/>
      <c r="M349" s="130">
        <f>M350</f>
        <v>0</v>
      </c>
      <c r="N349" s="130">
        <v>0</v>
      </c>
      <c r="O349" s="130"/>
      <c r="P349" s="130">
        <v>0</v>
      </c>
    </row>
    <row r="350" spans="1:18" ht="27" x14ac:dyDescent="0.3">
      <c r="A350" s="7"/>
      <c r="B350" s="7"/>
      <c r="C350" s="7"/>
      <c r="D350" s="7" t="s">
        <v>336</v>
      </c>
      <c r="E350" s="3" t="s">
        <v>337</v>
      </c>
      <c r="F350" s="130">
        <v>0</v>
      </c>
      <c r="G350" s="130"/>
      <c r="H350" s="130">
        <v>0</v>
      </c>
      <c r="I350" s="130"/>
      <c r="J350" s="130">
        <v>0</v>
      </c>
      <c r="K350" s="130">
        <v>0</v>
      </c>
      <c r="L350" s="130"/>
      <c r="M350" s="130">
        <v>0</v>
      </c>
      <c r="N350" s="130">
        <v>0</v>
      </c>
      <c r="O350" s="130"/>
      <c r="P350" s="130">
        <v>0</v>
      </c>
    </row>
    <row r="351" spans="1:18" ht="14.45" x14ac:dyDescent="0.3">
      <c r="A351" s="7"/>
      <c r="B351" s="7"/>
      <c r="C351" s="7" t="s">
        <v>591</v>
      </c>
      <c r="D351" s="4"/>
      <c r="E351" s="20" t="s">
        <v>405</v>
      </c>
      <c r="F351" s="130">
        <v>0</v>
      </c>
      <c r="G351" s="130"/>
      <c r="H351" s="130">
        <v>0</v>
      </c>
      <c r="I351" s="130"/>
      <c r="J351" s="130">
        <v>0</v>
      </c>
      <c r="K351" s="130">
        <f>K352</f>
        <v>0</v>
      </c>
      <c r="L351" s="130"/>
      <c r="M351" s="130">
        <v>0</v>
      </c>
      <c r="N351" s="130">
        <v>0</v>
      </c>
      <c r="O351" s="130"/>
      <c r="P351" s="130">
        <v>0</v>
      </c>
    </row>
    <row r="352" spans="1:18" ht="27" x14ac:dyDescent="0.3">
      <c r="A352" s="7"/>
      <c r="B352" s="7"/>
      <c r="C352" s="7"/>
      <c r="D352" s="7" t="s">
        <v>336</v>
      </c>
      <c r="E352" s="3" t="s">
        <v>337</v>
      </c>
      <c r="F352" s="130">
        <v>0</v>
      </c>
      <c r="G352" s="130"/>
      <c r="H352" s="130">
        <v>0</v>
      </c>
      <c r="I352" s="130"/>
      <c r="J352" s="130">
        <v>0</v>
      </c>
      <c r="K352" s="130">
        <v>0</v>
      </c>
      <c r="L352" s="130"/>
      <c r="M352" s="130">
        <v>0</v>
      </c>
      <c r="N352" s="130">
        <v>0</v>
      </c>
      <c r="O352" s="130"/>
      <c r="P352" s="130">
        <v>0</v>
      </c>
    </row>
    <row r="353" spans="1:16" ht="14.45" x14ac:dyDescent="0.3">
      <c r="A353" s="7"/>
      <c r="B353" s="7"/>
      <c r="C353" s="7" t="s">
        <v>592</v>
      </c>
      <c r="D353" s="4"/>
      <c r="E353" s="20" t="s">
        <v>829</v>
      </c>
      <c r="F353" s="130">
        <v>0</v>
      </c>
      <c r="G353" s="130"/>
      <c r="H353" s="130">
        <f>H354</f>
        <v>236.6</v>
      </c>
      <c r="I353" s="130"/>
      <c r="J353" s="130">
        <f>J354</f>
        <v>236.6</v>
      </c>
      <c r="K353" s="130">
        <v>0</v>
      </c>
      <c r="L353" s="130"/>
      <c r="M353" s="130">
        <v>0</v>
      </c>
      <c r="N353" s="130">
        <v>0</v>
      </c>
      <c r="O353" s="130"/>
      <c r="P353" s="130">
        <v>0</v>
      </c>
    </row>
    <row r="354" spans="1:16" ht="27" x14ac:dyDescent="0.3">
      <c r="A354" s="7"/>
      <c r="B354" s="7"/>
      <c r="C354" s="7"/>
      <c r="D354" s="7" t="s">
        <v>336</v>
      </c>
      <c r="E354" s="3" t="s">
        <v>337</v>
      </c>
      <c r="F354" s="130">
        <v>0</v>
      </c>
      <c r="G354" s="130"/>
      <c r="H354" s="130">
        <v>236.6</v>
      </c>
      <c r="I354" s="130"/>
      <c r="J354" s="130">
        <v>236.6</v>
      </c>
      <c r="K354" s="130">
        <v>0</v>
      </c>
      <c r="L354" s="130"/>
      <c r="M354" s="130">
        <v>0</v>
      </c>
      <c r="N354" s="130">
        <v>0</v>
      </c>
      <c r="O354" s="130"/>
      <c r="P354" s="130">
        <v>0</v>
      </c>
    </row>
    <row r="355" spans="1:16" ht="53.45" x14ac:dyDescent="0.3">
      <c r="A355" s="7"/>
      <c r="B355" s="7"/>
      <c r="C355" s="7" t="s">
        <v>398</v>
      </c>
      <c r="D355" s="17"/>
      <c r="E355" s="20" t="s">
        <v>399</v>
      </c>
      <c r="F355" s="130">
        <v>0</v>
      </c>
      <c r="G355" s="146">
        <v>0.11971</v>
      </c>
      <c r="H355" s="130">
        <v>0.11971</v>
      </c>
      <c r="I355" s="130"/>
      <c r="J355" s="130">
        <v>0.11971</v>
      </c>
      <c r="K355" s="130">
        <v>0</v>
      </c>
      <c r="L355" s="130"/>
      <c r="M355" s="130">
        <v>0</v>
      </c>
      <c r="N355" s="130">
        <v>0</v>
      </c>
      <c r="O355" s="130"/>
      <c r="P355" s="130">
        <v>0</v>
      </c>
    </row>
    <row r="356" spans="1:16" ht="26.45" x14ac:dyDescent="0.3">
      <c r="A356" s="7"/>
      <c r="B356" s="7"/>
      <c r="C356" s="7"/>
      <c r="D356" s="4" t="s">
        <v>362</v>
      </c>
      <c r="E356" s="6" t="s">
        <v>363</v>
      </c>
      <c r="F356" s="130">
        <v>0</v>
      </c>
      <c r="G356" s="146">
        <v>0.11971</v>
      </c>
      <c r="H356" s="146">
        <v>0.11971</v>
      </c>
      <c r="I356" s="146"/>
      <c r="J356" s="146">
        <v>0.11971</v>
      </c>
      <c r="K356" s="130">
        <v>0</v>
      </c>
      <c r="L356" s="130"/>
      <c r="M356" s="130">
        <v>0</v>
      </c>
      <c r="N356" s="130">
        <v>0</v>
      </c>
      <c r="O356" s="130"/>
      <c r="P356" s="130">
        <v>0</v>
      </c>
    </row>
    <row r="357" spans="1:16" ht="14.45" x14ac:dyDescent="0.3">
      <c r="A357" s="7"/>
      <c r="B357" s="7"/>
      <c r="C357" s="7"/>
      <c r="D357" s="4"/>
      <c r="E357" s="3" t="s">
        <v>183</v>
      </c>
      <c r="F357" s="130">
        <v>0</v>
      </c>
      <c r="G357" s="146"/>
      <c r="H357" s="130">
        <v>0</v>
      </c>
      <c r="I357" s="130"/>
      <c r="J357" s="130">
        <v>0</v>
      </c>
      <c r="K357" s="130">
        <v>0</v>
      </c>
      <c r="L357" s="130"/>
      <c r="M357" s="130">
        <v>0</v>
      </c>
      <c r="N357" s="130">
        <v>0</v>
      </c>
      <c r="O357" s="130"/>
      <c r="P357" s="130">
        <v>0</v>
      </c>
    </row>
    <row r="358" spans="1:16" ht="14.45" x14ac:dyDescent="0.3">
      <c r="A358" s="7"/>
      <c r="B358" s="7"/>
      <c r="C358" s="7"/>
      <c r="D358" s="4"/>
      <c r="E358" s="20" t="s">
        <v>120</v>
      </c>
      <c r="F358" s="130">
        <v>0</v>
      </c>
      <c r="G358" s="146">
        <v>0.11971</v>
      </c>
      <c r="H358" s="130">
        <v>0.11971</v>
      </c>
      <c r="I358" s="130"/>
      <c r="J358" s="130">
        <v>0.11971</v>
      </c>
      <c r="K358" s="130">
        <v>0</v>
      </c>
      <c r="L358" s="130"/>
      <c r="M358" s="130">
        <v>0</v>
      </c>
      <c r="N358" s="130">
        <v>0</v>
      </c>
      <c r="O358" s="130"/>
      <c r="P358" s="130">
        <v>0</v>
      </c>
    </row>
    <row r="359" spans="1:16" ht="39.6" x14ac:dyDescent="0.3">
      <c r="A359" s="15"/>
      <c r="B359" s="15"/>
      <c r="C359" s="15" t="s">
        <v>406</v>
      </c>
      <c r="D359" s="15"/>
      <c r="E359" s="21" t="s">
        <v>407</v>
      </c>
      <c r="F359" s="131">
        <f>F362</f>
        <v>2265.8000000000002</v>
      </c>
      <c r="G359" s="131"/>
      <c r="H359" s="131">
        <f>H360+H362</f>
        <v>1454.1</v>
      </c>
      <c r="I359" s="131">
        <f>I360+I362</f>
        <v>0</v>
      </c>
      <c r="J359" s="131">
        <f>J360+J362</f>
        <v>1454.1</v>
      </c>
      <c r="K359" s="131">
        <f>K362</f>
        <v>0</v>
      </c>
      <c r="L359" s="131"/>
      <c r="M359" s="131">
        <f>M362</f>
        <v>0</v>
      </c>
      <c r="N359" s="131">
        <f>N362</f>
        <v>0</v>
      </c>
      <c r="O359" s="131"/>
      <c r="P359" s="131">
        <f>P362</f>
        <v>0</v>
      </c>
    </row>
    <row r="360" spans="1:16" ht="27" x14ac:dyDescent="0.3">
      <c r="A360" s="81"/>
      <c r="B360" s="81"/>
      <c r="C360" s="7" t="s">
        <v>817</v>
      </c>
      <c r="D360" s="4"/>
      <c r="E360" s="20" t="s">
        <v>816</v>
      </c>
      <c r="F360" s="130">
        <v>2265.8000000000002</v>
      </c>
      <c r="G360" s="130"/>
      <c r="H360" s="130">
        <f>H361</f>
        <v>348.1</v>
      </c>
      <c r="I360" s="146">
        <f>I361</f>
        <v>0</v>
      </c>
      <c r="J360" s="130">
        <f>J361</f>
        <v>348.1</v>
      </c>
      <c r="K360" s="130">
        <v>0</v>
      </c>
      <c r="L360" s="130"/>
      <c r="M360" s="130">
        <v>0</v>
      </c>
      <c r="N360" s="130">
        <v>0</v>
      </c>
      <c r="O360" s="130"/>
      <c r="P360" s="130">
        <v>0</v>
      </c>
    </row>
    <row r="361" spans="1:16" ht="26.45" x14ac:dyDescent="0.3">
      <c r="A361" s="81"/>
      <c r="B361" s="81"/>
      <c r="C361" s="7"/>
      <c r="D361" s="7" t="s">
        <v>608</v>
      </c>
      <c r="E361" s="1" t="s">
        <v>609</v>
      </c>
      <c r="F361" s="130">
        <v>2265.8000000000002</v>
      </c>
      <c r="G361" s="130"/>
      <c r="H361" s="130">
        <v>348.1</v>
      </c>
      <c r="I361" s="146"/>
      <c r="J361" s="130">
        <f>SUM(H361:I361)</f>
        <v>348.1</v>
      </c>
      <c r="K361" s="130">
        <v>0</v>
      </c>
      <c r="L361" s="130"/>
      <c r="M361" s="130">
        <v>0</v>
      </c>
      <c r="N361" s="130">
        <v>0</v>
      </c>
      <c r="O361" s="130"/>
      <c r="P361" s="130">
        <v>0</v>
      </c>
    </row>
    <row r="362" spans="1:16" ht="40.15" x14ac:dyDescent="0.3">
      <c r="A362" s="81"/>
      <c r="B362" s="81"/>
      <c r="C362" s="7" t="s">
        <v>593</v>
      </c>
      <c r="D362" s="4"/>
      <c r="E362" s="20" t="s">
        <v>180</v>
      </c>
      <c r="F362" s="130">
        <v>2265.8000000000002</v>
      </c>
      <c r="G362" s="130"/>
      <c r="H362" s="130">
        <f>H363</f>
        <v>1106</v>
      </c>
      <c r="I362" s="146"/>
      <c r="J362" s="130">
        <f>J363</f>
        <v>1106</v>
      </c>
      <c r="K362" s="130">
        <v>0</v>
      </c>
      <c r="L362" s="130"/>
      <c r="M362" s="130">
        <v>0</v>
      </c>
      <c r="N362" s="130">
        <v>0</v>
      </c>
      <c r="O362" s="130"/>
      <c r="P362" s="130">
        <v>0</v>
      </c>
    </row>
    <row r="363" spans="1:16" ht="27" x14ac:dyDescent="0.3">
      <c r="A363" s="81"/>
      <c r="B363" s="81"/>
      <c r="C363" s="7"/>
      <c r="D363" s="7" t="s">
        <v>336</v>
      </c>
      <c r="E363" s="3" t="s">
        <v>337</v>
      </c>
      <c r="F363" s="130">
        <v>2265.8000000000002</v>
      </c>
      <c r="G363" s="130"/>
      <c r="H363" s="130">
        <v>1106</v>
      </c>
      <c r="I363" s="146"/>
      <c r="J363" s="130">
        <f>SUM(H363:I363)</f>
        <v>1106</v>
      </c>
      <c r="K363" s="130">
        <v>0</v>
      </c>
      <c r="L363" s="130"/>
      <c r="M363" s="130">
        <v>0</v>
      </c>
      <c r="N363" s="130">
        <v>0</v>
      </c>
      <c r="O363" s="130"/>
      <c r="P363" s="130">
        <v>0</v>
      </c>
    </row>
    <row r="364" spans="1:16" ht="14.45" x14ac:dyDescent="0.3">
      <c r="A364" s="193"/>
      <c r="B364" s="193"/>
      <c r="C364" s="103" t="s">
        <v>620</v>
      </c>
      <c r="D364" s="102"/>
      <c r="E364" s="198" t="s">
        <v>621</v>
      </c>
      <c r="F364" s="192">
        <f>F365</f>
        <v>979.5</v>
      </c>
      <c r="G364" s="192"/>
      <c r="H364" s="192">
        <f>H365</f>
        <v>1167.1399999999999</v>
      </c>
      <c r="I364" s="192">
        <f>I365</f>
        <v>0</v>
      </c>
      <c r="J364" s="192">
        <f>J365</f>
        <v>1167.1399999999999</v>
      </c>
      <c r="K364" s="192">
        <f>K365</f>
        <v>0</v>
      </c>
      <c r="L364" s="192"/>
      <c r="M364" s="192">
        <f t="shared" ref="M364:N366" si="78">M365</f>
        <v>0</v>
      </c>
      <c r="N364" s="192">
        <f t="shared" si="78"/>
        <v>0</v>
      </c>
      <c r="O364" s="192"/>
      <c r="P364" s="192">
        <f>P365</f>
        <v>0</v>
      </c>
    </row>
    <row r="365" spans="1:16" ht="39.6" x14ac:dyDescent="0.3">
      <c r="A365" s="128"/>
      <c r="B365" s="128"/>
      <c r="C365" s="182" t="s">
        <v>509</v>
      </c>
      <c r="D365" s="183"/>
      <c r="E365" s="184" t="s">
        <v>662</v>
      </c>
      <c r="F365" s="153">
        <f>F366</f>
        <v>979.5</v>
      </c>
      <c r="G365" s="153"/>
      <c r="H365" s="153">
        <f>H366+H368+H370</f>
        <v>1167.1399999999999</v>
      </c>
      <c r="I365" s="153">
        <f>I366+I368+I370</f>
        <v>0</v>
      </c>
      <c r="J365" s="153">
        <f>J366+J368+J370</f>
        <v>1167.1399999999999</v>
      </c>
      <c r="K365" s="153">
        <f>K366</f>
        <v>0</v>
      </c>
      <c r="L365" s="153"/>
      <c r="M365" s="153">
        <f t="shared" si="78"/>
        <v>0</v>
      </c>
      <c r="N365" s="153">
        <f t="shared" si="78"/>
        <v>0</v>
      </c>
      <c r="O365" s="153"/>
      <c r="P365" s="153">
        <f>P366</f>
        <v>0</v>
      </c>
    </row>
    <row r="366" spans="1:16" ht="26.45" x14ac:dyDescent="0.3">
      <c r="A366" s="81"/>
      <c r="B366" s="81"/>
      <c r="C366" s="91" t="s">
        <v>526</v>
      </c>
      <c r="D366" s="17"/>
      <c r="E366" s="1" t="s">
        <v>527</v>
      </c>
      <c r="F366" s="145">
        <f>F367</f>
        <v>979.5</v>
      </c>
      <c r="G366" s="145"/>
      <c r="H366" s="145">
        <f>H367</f>
        <v>979.5</v>
      </c>
      <c r="I366" s="145"/>
      <c r="J366" s="145">
        <f>J367</f>
        <v>979.5</v>
      </c>
      <c r="K366" s="145">
        <f>K367</f>
        <v>0</v>
      </c>
      <c r="L366" s="145"/>
      <c r="M366" s="145">
        <f t="shared" si="78"/>
        <v>0</v>
      </c>
      <c r="N366" s="145">
        <f t="shared" si="78"/>
        <v>0</v>
      </c>
      <c r="O366" s="145"/>
      <c r="P366" s="145">
        <f>P367</f>
        <v>0</v>
      </c>
    </row>
    <row r="367" spans="1:16" ht="14.45" x14ac:dyDescent="0.3">
      <c r="A367" s="81"/>
      <c r="B367" s="81"/>
      <c r="C367" s="91"/>
      <c r="D367" s="17" t="s">
        <v>513</v>
      </c>
      <c r="E367" s="1" t="s">
        <v>514</v>
      </c>
      <c r="F367" s="145">
        <v>979.5</v>
      </c>
      <c r="G367" s="145"/>
      <c r="H367" s="145">
        <v>979.5</v>
      </c>
      <c r="I367" s="145"/>
      <c r="J367" s="145">
        <v>979.5</v>
      </c>
      <c r="K367" s="145">
        <v>0</v>
      </c>
      <c r="L367" s="145"/>
      <c r="M367" s="145">
        <v>0</v>
      </c>
      <c r="N367" s="145">
        <v>0</v>
      </c>
      <c r="O367" s="145"/>
      <c r="P367" s="145">
        <v>0</v>
      </c>
    </row>
    <row r="368" spans="1:16" ht="26.45" x14ac:dyDescent="0.3">
      <c r="A368" s="81"/>
      <c r="B368" s="81"/>
      <c r="C368" s="17" t="s">
        <v>822</v>
      </c>
      <c r="D368" s="17"/>
      <c r="E368" s="1" t="s">
        <v>823</v>
      </c>
      <c r="F368" s="145"/>
      <c r="G368" s="145"/>
      <c r="H368" s="145">
        <f>H369</f>
        <v>145.80000000000001</v>
      </c>
      <c r="I368" s="145"/>
      <c r="J368" s="145">
        <f>J369</f>
        <v>145.80000000000001</v>
      </c>
      <c r="K368" s="145"/>
      <c r="L368" s="145"/>
      <c r="M368" s="145">
        <v>0</v>
      </c>
      <c r="N368" s="145"/>
      <c r="O368" s="145"/>
      <c r="P368" s="145">
        <v>0</v>
      </c>
    </row>
    <row r="369" spans="1:18" ht="26.45" x14ac:dyDescent="0.3">
      <c r="A369" s="81"/>
      <c r="B369" s="81"/>
      <c r="C369" s="17"/>
      <c r="D369" s="17" t="s">
        <v>608</v>
      </c>
      <c r="E369" s="1" t="s">
        <v>337</v>
      </c>
      <c r="F369" s="145"/>
      <c r="G369" s="145"/>
      <c r="H369" s="145">
        <v>145.80000000000001</v>
      </c>
      <c r="I369" s="145"/>
      <c r="J369" s="145">
        <v>145.80000000000001</v>
      </c>
      <c r="K369" s="145"/>
      <c r="L369" s="145"/>
      <c r="M369" s="145">
        <v>0</v>
      </c>
      <c r="N369" s="145"/>
      <c r="O369" s="145"/>
      <c r="P369" s="145">
        <v>0</v>
      </c>
    </row>
    <row r="370" spans="1:18" ht="14.45" x14ac:dyDescent="0.3">
      <c r="A370" s="81"/>
      <c r="B370" s="81"/>
      <c r="C370" s="17" t="s">
        <v>832</v>
      </c>
      <c r="D370" s="17"/>
      <c r="E370" s="1" t="s">
        <v>831</v>
      </c>
      <c r="F370" s="145"/>
      <c r="G370" s="145"/>
      <c r="H370" s="145">
        <f>H371</f>
        <v>41.84</v>
      </c>
      <c r="I370" s="145">
        <f>I371</f>
        <v>0</v>
      </c>
      <c r="J370" s="145">
        <f>J371</f>
        <v>41.84</v>
      </c>
      <c r="K370" s="145"/>
      <c r="L370" s="145"/>
      <c r="M370" s="145">
        <v>0</v>
      </c>
      <c r="N370" s="145"/>
      <c r="O370" s="145"/>
      <c r="P370" s="145">
        <v>0</v>
      </c>
    </row>
    <row r="371" spans="1:18" ht="27" x14ac:dyDescent="0.3">
      <c r="A371" s="81"/>
      <c r="B371" s="81"/>
      <c r="C371" s="17"/>
      <c r="D371" s="17" t="s">
        <v>336</v>
      </c>
      <c r="E371" s="3" t="s">
        <v>337</v>
      </c>
      <c r="F371" s="145"/>
      <c r="G371" s="145"/>
      <c r="H371" s="145">
        <v>41.84</v>
      </c>
      <c r="I371" s="145"/>
      <c r="J371" s="145">
        <f>H371</f>
        <v>41.84</v>
      </c>
      <c r="K371" s="145"/>
      <c r="L371" s="145"/>
      <c r="M371" s="145">
        <v>0</v>
      </c>
      <c r="N371" s="145"/>
      <c r="O371" s="145"/>
      <c r="P371" s="145">
        <v>0</v>
      </c>
    </row>
    <row r="372" spans="1:18" ht="14.45" x14ac:dyDescent="0.3">
      <c r="A372" s="81"/>
      <c r="B372" s="18" t="s">
        <v>663</v>
      </c>
      <c r="C372" s="86"/>
      <c r="D372" s="85"/>
      <c r="E372" s="87" t="s">
        <v>664</v>
      </c>
      <c r="F372" s="157">
        <f>F373</f>
        <v>22649.42</v>
      </c>
      <c r="G372" s="157"/>
      <c r="H372" s="157">
        <f t="shared" ref="H372:P372" si="79">H373</f>
        <v>24306.184499999999</v>
      </c>
      <c r="I372" s="157">
        <f>I373+I429</f>
        <v>-48.999999999999986</v>
      </c>
      <c r="J372" s="157">
        <f>J373+J429</f>
        <v>24257.184499999999</v>
      </c>
      <c r="K372" s="157">
        <f t="shared" si="79"/>
        <v>23498.60945</v>
      </c>
      <c r="L372" s="157">
        <f t="shared" si="79"/>
        <v>0</v>
      </c>
      <c r="M372" s="157">
        <f t="shared" si="79"/>
        <v>23498.60945</v>
      </c>
      <c r="N372" s="157">
        <f t="shared" si="79"/>
        <v>32124.572</v>
      </c>
      <c r="O372" s="157">
        <f t="shared" si="79"/>
        <v>0</v>
      </c>
      <c r="P372" s="157">
        <f t="shared" si="79"/>
        <v>32124.572</v>
      </c>
    </row>
    <row r="373" spans="1:18" ht="26.45" x14ac:dyDescent="0.3">
      <c r="A373" s="81"/>
      <c r="B373" s="18"/>
      <c r="C373" s="86" t="s">
        <v>6</v>
      </c>
      <c r="D373" s="18"/>
      <c r="E373" s="90" t="s">
        <v>7</v>
      </c>
      <c r="F373" s="157">
        <f>F374+F414</f>
        <v>22649.42</v>
      </c>
      <c r="G373" s="157"/>
      <c r="H373" s="157">
        <f t="shared" ref="H373:P373" si="80">H374+H414</f>
        <v>24306.184499999999</v>
      </c>
      <c r="I373" s="157">
        <f t="shared" si="80"/>
        <v>-116.79999999999998</v>
      </c>
      <c r="J373" s="157">
        <f t="shared" si="80"/>
        <v>24189.3845</v>
      </c>
      <c r="K373" s="157">
        <f t="shared" si="80"/>
        <v>23498.60945</v>
      </c>
      <c r="L373" s="157">
        <f t="shared" si="80"/>
        <v>0</v>
      </c>
      <c r="M373" s="157">
        <f t="shared" si="80"/>
        <v>23498.60945</v>
      </c>
      <c r="N373" s="157">
        <f t="shared" si="80"/>
        <v>32124.572</v>
      </c>
      <c r="O373" s="157">
        <f t="shared" si="80"/>
        <v>0</v>
      </c>
      <c r="P373" s="157">
        <f t="shared" si="80"/>
        <v>32124.572</v>
      </c>
    </row>
    <row r="374" spans="1:18" ht="26.45" x14ac:dyDescent="0.3">
      <c r="A374" s="93"/>
      <c r="B374" s="94"/>
      <c r="C374" s="95" t="s">
        <v>346</v>
      </c>
      <c r="D374" s="94"/>
      <c r="E374" s="96" t="s">
        <v>347</v>
      </c>
      <c r="F374" s="138">
        <f>F375+F381</f>
        <v>13544.814999999999</v>
      </c>
      <c r="G374" s="138"/>
      <c r="H374" s="138">
        <f>H375+H381+H410</f>
        <v>15075.5795</v>
      </c>
      <c r="I374" s="138">
        <f>I375+I381+I410</f>
        <v>-33.1</v>
      </c>
      <c r="J374" s="138">
        <f t="shared" ref="J374:P374" si="81">J375+J381+J410</f>
        <v>15042.479499999999</v>
      </c>
      <c r="K374" s="138">
        <f t="shared" si="81"/>
        <v>13065.398449999999</v>
      </c>
      <c r="L374" s="138">
        <f t="shared" si="81"/>
        <v>0</v>
      </c>
      <c r="M374" s="138">
        <f t="shared" si="81"/>
        <v>13065.398449999999</v>
      </c>
      <c r="N374" s="138">
        <f t="shared" si="81"/>
        <v>22072.7</v>
      </c>
      <c r="O374" s="138">
        <f t="shared" si="81"/>
        <v>0</v>
      </c>
      <c r="P374" s="138">
        <f t="shared" si="81"/>
        <v>22072.7</v>
      </c>
      <c r="R374" s="45"/>
    </row>
    <row r="375" spans="1:18" ht="14.45" x14ac:dyDescent="0.3">
      <c r="A375" s="34"/>
      <c r="B375" s="34"/>
      <c r="C375" s="34" t="s">
        <v>348</v>
      </c>
      <c r="D375" s="34"/>
      <c r="E375" s="60" t="s">
        <v>349</v>
      </c>
      <c r="F375" s="139">
        <f>F376+F388</f>
        <v>3286.9</v>
      </c>
      <c r="G375" s="139"/>
      <c r="H375" s="139">
        <f>H376+H388</f>
        <v>3286.9</v>
      </c>
      <c r="I375" s="139"/>
      <c r="J375" s="139">
        <f>J376+J388</f>
        <v>3286.9</v>
      </c>
      <c r="K375" s="139">
        <f>K376</f>
        <v>11777.9</v>
      </c>
      <c r="L375" s="139"/>
      <c r="M375" s="139">
        <f>M376</f>
        <v>11777.9</v>
      </c>
      <c r="N375" s="139">
        <f>N376</f>
        <v>16641.400000000001</v>
      </c>
      <c r="O375" s="139"/>
      <c r="P375" s="139">
        <f>P376</f>
        <v>16641.400000000001</v>
      </c>
      <c r="R375" s="45"/>
    </row>
    <row r="376" spans="1:18" ht="27" x14ac:dyDescent="0.3">
      <c r="A376" s="24"/>
      <c r="B376" s="24"/>
      <c r="C376" s="24" t="s">
        <v>355</v>
      </c>
      <c r="D376" s="7"/>
      <c r="E376" s="3" t="s">
        <v>356</v>
      </c>
      <c r="F376" s="130">
        <f>F378+F379+F380</f>
        <v>3286.9</v>
      </c>
      <c r="G376" s="130"/>
      <c r="H376" s="130">
        <f>H378+H379+H380</f>
        <v>3286.9</v>
      </c>
      <c r="I376" s="130"/>
      <c r="J376" s="130">
        <f>J378+J379+J380</f>
        <v>3286.9</v>
      </c>
      <c r="K376" s="130">
        <f>K378+K379+K380</f>
        <v>11777.9</v>
      </c>
      <c r="L376" s="130"/>
      <c r="M376" s="130">
        <f>M378+M379+M380</f>
        <v>11777.9</v>
      </c>
      <c r="N376" s="130">
        <f>N378+N379+N380</f>
        <v>16641.400000000001</v>
      </c>
      <c r="O376" s="130"/>
      <c r="P376" s="130">
        <f>P378+P379+P380</f>
        <v>16641.400000000001</v>
      </c>
      <c r="Q376" s="63"/>
    </row>
    <row r="377" spans="1:18" ht="27" x14ac:dyDescent="0.3">
      <c r="A377" s="24"/>
      <c r="B377" s="24"/>
      <c r="C377" s="24"/>
      <c r="D377" s="24" t="s">
        <v>336</v>
      </c>
      <c r="E377" s="65" t="s">
        <v>337</v>
      </c>
      <c r="F377" s="130">
        <v>3286.9</v>
      </c>
      <c r="G377" s="130"/>
      <c r="H377" s="130">
        <v>3286.9</v>
      </c>
      <c r="I377" s="130"/>
      <c r="J377" s="130">
        <v>3286.9</v>
      </c>
      <c r="K377" s="130">
        <v>11777.9</v>
      </c>
      <c r="L377" s="130"/>
      <c r="M377" s="130">
        <v>11777.9</v>
      </c>
      <c r="N377" s="130">
        <v>16641.400000000001</v>
      </c>
      <c r="O377" s="130"/>
      <c r="P377" s="130">
        <v>16641.400000000001</v>
      </c>
      <c r="Q377" s="63"/>
    </row>
    <row r="378" spans="1:18" ht="14.45" x14ac:dyDescent="0.3">
      <c r="A378" s="24"/>
      <c r="B378" s="24"/>
      <c r="C378" s="24"/>
      <c r="D378" s="7"/>
      <c r="E378" s="62" t="s">
        <v>182</v>
      </c>
      <c r="F378" s="130">
        <v>2185.8000000000002</v>
      </c>
      <c r="G378" s="130"/>
      <c r="H378" s="130">
        <v>2185.8000000000002</v>
      </c>
      <c r="I378" s="130"/>
      <c r="J378" s="130">
        <v>2185.8000000000002</v>
      </c>
      <c r="K378" s="130">
        <v>7832.3</v>
      </c>
      <c r="L378" s="130"/>
      <c r="M378" s="130">
        <v>7832.3</v>
      </c>
      <c r="N378" s="130">
        <v>11066.5</v>
      </c>
      <c r="O378" s="130"/>
      <c r="P378" s="130">
        <v>11066.5</v>
      </c>
      <c r="Q378" s="63"/>
    </row>
    <row r="379" spans="1:18" ht="14.45" x14ac:dyDescent="0.3">
      <c r="A379" s="24"/>
      <c r="B379" s="24"/>
      <c r="C379" s="24"/>
      <c r="D379" s="7"/>
      <c r="E379" s="62" t="s">
        <v>250</v>
      </c>
      <c r="F379" s="130">
        <v>115</v>
      </c>
      <c r="G379" s="130"/>
      <c r="H379" s="130">
        <v>115</v>
      </c>
      <c r="I379" s="130"/>
      <c r="J379" s="130">
        <v>115</v>
      </c>
      <c r="K379" s="130">
        <v>412.2</v>
      </c>
      <c r="L379" s="130"/>
      <c r="M379" s="130">
        <v>412.2</v>
      </c>
      <c r="N379" s="130">
        <v>582.5</v>
      </c>
      <c r="O379" s="130"/>
      <c r="P379" s="130">
        <v>582.5</v>
      </c>
      <c r="Q379" s="63"/>
    </row>
    <row r="380" spans="1:18" ht="14.45" x14ac:dyDescent="0.3">
      <c r="A380" s="24"/>
      <c r="B380" s="24"/>
      <c r="C380" s="24"/>
      <c r="D380" s="7"/>
      <c r="E380" s="62" t="s">
        <v>354</v>
      </c>
      <c r="F380" s="130">
        <v>986.1</v>
      </c>
      <c r="G380" s="130"/>
      <c r="H380" s="130">
        <v>986.1</v>
      </c>
      <c r="I380" s="130"/>
      <c r="J380" s="130">
        <v>986.1</v>
      </c>
      <c r="K380" s="130">
        <v>3533.4</v>
      </c>
      <c r="L380" s="130"/>
      <c r="M380" s="130">
        <v>3533.4</v>
      </c>
      <c r="N380" s="130">
        <v>4992.3999999999996</v>
      </c>
      <c r="O380" s="130"/>
      <c r="P380" s="130">
        <v>4992.3999999999996</v>
      </c>
      <c r="Q380" s="63"/>
    </row>
    <row r="381" spans="1:18" ht="27" x14ac:dyDescent="0.3">
      <c r="A381" s="34"/>
      <c r="B381" s="34"/>
      <c r="C381" s="34" t="s">
        <v>364</v>
      </c>
      <c r="D381" s="34"/>
      <c r="E381" s="60" t="s">
        <v>365</v>
      </c>
      <c r="F381" s="139">
        <f>F382+F403</f>
        <v>10257.914999999999</v>
      </c>
      <c r="G381" s="139"/>
      <c r="H381" s="139">
        <f t="shared" ref="H381:N381" si="82">H382+H403</f>
        <v>11367.479499999999</v>
      </c>
      <c r="I381" s="139">
        <f t="shared" si="82"/>
        <v>-33.1</v>
      </c>
      <c r="J381" s="139">
        <f t="shared" si="82"/>
        <v>11334.379499999999</v>
      </c>
      <c r="K381" s="139">
        <f t="shared" si="82"/>
        <v>958.19844999999998</v>
      </c>
      <c r="L381" s="139">
        <f t="shared" si="82"/>
        <v>0</v>
      </c>
      <c r="M381" s="139">
        <f t="shared" si="82"/>
        <v>958.19844999999998</v>
      </c>
      <c r="N381" s="139">
        <f t="shared" si="82"/>
        <v>5102</v>
      </c>
      <c r="O381" s="139"/>
      <c r="P381" s="139">
        <f>P382+P403</f>
        <v>5102</v>
      </c>
    </row>
    <row r="382" spans="1:18" ht="27" x14ac:dyDescent="0.3">
      <c r="A382" s="36"/>
      <c r="B382" s="36"/>
      <c r="C382" s="36" t="s">
        <v>366</v>
      </c>
      <c r="D382" s="36"/>
      <c r="E382" s="22" t="s">
        <v>367</v>
      </c>
      <c r="F382" s="131">
        <f>F391+F393+F388+F383</f>
        <v>8140.9149999999991</v>
      </c>
      <c r="G382" s="131"/>
      <c r="H382" s="131">
        <f>H391+H393+H388+H383+H396+H399+H401</f>
        <v>9586.7150000000001</v>
      </c>
      <c r="I382" s="131">
        <f t="shared" ref="I382:J382" si="83">I391+I393+I388+I383+I396+I399+I401</f>
        <v>-33.1</v>
      </c>
      <c r="J382" s="131">
        <f t="shared" si="83"/>
        <v>9553.6149999999998</v>
      </c>
      <c r="K382" s="131">
        <f>K391+K393+K388</f>
        <v>958.19844999999998</v>
      </c>
      <c r="L382" s="131">
        <f>L391+L393+L388</f>
        <v>0</v>
      </c>
      <c r="M382" s="131">
        <f>M391+M393+M388</f>
        <v>958.19844999999998</v>
      </c>
      <c r="N382" s="131">
        <f>N391+N393+N388</f>
        <v>5102</v>
      </c>
      <c r="O382" s="131"/>
      <c r="P382" s="131">
        <f>P391+P393+P388</f>
        <v>5102</v>
      </c>
    </row>
    <row r="383" spans="1:18" x14ac:dyDescent="0.25">
      <c r="A383" s="13"/>
      <c r="B383" s="13"/>
      <c r="C383" s="7" t="s">
        <v>761</v>
      </c>
      <c r="D383" s="7"/>
      <c r="E383" s="20" t="s">
        <v>760</v>
      </c>
      <c r="F383" s="130">
        <f>F384</f>
        <v>3850.9149999999995</v>
      </c>
      <c r="G383" s="130"/>
      <c r="H383" s="130">
        <f>H384</f>
        <v>3850.9149999999995</v>
      </c>
      <c r="I383" s="130"/>
      <c r="J383" s="130">
        <f>J384</f>
        <v>3850.9149999999995</v>
      </c>
      <c r="K383" s="137"/>
      <c r="L383" s="137"/>
      <c r="M383" s="137">
        <v>0</v>
      </c>
      <c r="N383" s="137"/>
      <c r="O383" s="137"/>
      <c r="P383" s="137">
        <v>0</v>
      </c>
    </row>
    <row r="384" spans="1:18" ht="26.25" x14ac:dyDescent="0.25">
      <c r="A384" s="13"/>
      <c r="B384" s="13"/>
      <c r="C384" s="7"/>
      <c r="D384" s="7" t="s">
        <v>336</v>
      </c>
      <c r="E384" s="3" t="s">
        <v>337</v>
      </c>
      <c r="F384" s="130">
        <f>SUM(F385+F386+F387)</f>
        <v>3850.9149999999995</v>
      </c>
      <c r="G384" s="130"/>
      <c r="H384" s="130">
        <f>SUM(H385+H386+H387)</f>
        <v>3850.9149999999995</v>
      </c>
      <c r="I384" s="130"/>
      <c r="J384" s="130">
        <f>SUM(J385+J386+J387)</f>
        <v>3850.9149999999995</v>
      </c>
      <c r="K384" s="137"/>
      <c r="L384" s="137"/>
      <c r="M384" s="137">
        <v>0</v>
      </c>
      <c r="N384" s="137"/>
      <c r="O384" s="137"/>
      <c r="P384" s="137">
        <v>0</v>
      </c>
    </row>
    <row r="385" spans="1:16" x14ac:dyDescent="0.25">
      <c r="A385" s="13"/>
      <c r="B385" s="13"/>
      <c r="C385" s="7"/>
      <c r="D385" s="7"/>
      <c r="E385" s="62" t="s">
        <v>250</v>
      </c>
      <c r="F385" s="130">
        <v>3465.8229999999999</v>
      </c>
      <c r="G385" s="130"/>
      <c r="H385" s="130">
        <v>3465.8229999999999</v>
      </c>
      <c r="I385" s="130"/>
      <c r="J385" s="130">
        <v>3465.8229999999999</v>
      </c>
      <c r="K385" s="137"/>
      <c r="L385" s="137"/>
      <c r="M385" s="137">
        <v>0</v>
      </c>
      <c r="N385" s="137"/>
      <c r="O385" s="137"/>
      <c r="P385" s="137">
        <v>0</v>
      </c>
    </row>
    <row r="386" spans="1:16" x14ac:dyDescent="0.25">
      <c r="A386" s="13"/>
      <c r="B386" s="13"/>
      <c r="C386" s="7"/>
      <c r="D386" s="7"/>
      <c r="E386" s="62" t="s">
        <v>354</v>
      </c>
      <c r="F386" s="130">
        <v>192.54599999999999</v>
      </c>
      <c r="G386" s="130"/>
      <c r="H386" s="130">
        <v>192.54599999999999</v>
      </c>
      <c r="I386" s="130"/>
      <c r="J386" s="130">
        <v>192.54599999999999</v>
      </c>
      <c r="K386" s="137"/>
      <c r="L386" s="137"/>
      <c r="M386" s="137">
        <v>0</v>
      </c>
      <c r="N386" s="137"/>
      <c r="O386" s="137"/>
      <c r="P386" s="137">
        <v>0</v>
      </c>
    </row>
    <row r="387" spans="1:16" x14ac:dyDescent="0.25">
      <c r="A387" s="13"/>
      <c r="B387" s="13"/>
      <c r="C387" s="7"/>
      <c r="D387" s="7"/>
      <c r="E387" s="62" t="s">
        <v>360</v>
      </c>
      <c r="F387" s="146">
        <v>192.54599999999999</v>
      </c>
      <c r="G387" s="146"/>
      <c r="H387" s="146">
        <v>192.54599999999999</v>
      </c>
      <c r="I387" s="146"/>
      <c r="J387" s="146">
        <v>192.54599999999999</v>
      </c>
      <c r="K387" s="137"/>
      <c r="L387" s="137"/>
      <c r="M387" s="137">
        <v>0</v>
      </c>
      <c r="N387" s="137"/>
      <c r="O387" s="137"/>
      <c r="P387" s="137">
        <v>0</v>
      </c>
    </row>
    <row r="388" spans="1:16" ht="40.15" x14ac:dyDescent="0.3">
      <c r="A388" s="7"/>
      <c r="B388" s="7"/>
      <c r="C388" s="7" t="s">
        <v>372</v>
      </c>
      <c r="D388" s="13"/>
      <c r="E388" s="65" t="s">
        <v>368</v>
      </c>
      <c r="F388" s="146">
        <f>F390</f>
        <v>0</v>
      </c>
      <c r="G388" s="146"/>
      <c r="H388" s="146">
        <f>H390</f>
        <v>0</v>
      </c>
      <c r="I388" s="146"/>
      <c r="J388" s="146">
        <f>J390</f>
        <v>0</v>
      </c>
      <c r="K388" s="146">
        <f t="shared" ref="K388:N389" si="84">K389</f>
        <v>0</v>
      </c>
      <c r="L388" s="146">
        <f t="shared" si="84"/>
        <v>0</v>
      </c>
      <c r="M388" s="146">
        <f t="shared" si="84"/>
        <v>0</v>
      </c>
      <c r="N388" s="146">
        <f t="shared" si="84"/>
        <v>463</v>
      </c>
      <c r="O388" s="146"/>
      <c r="P388" s="146">
        <f>P389</f>
        <v>463</v>
      </c>
    </row>
    <row r="389" spans="1:16" ht="26.25" customHeight="1" x14ac:dyDescent="0.3">
      <c r="A389" s="7"/>
      <c r="B389" s="7"/>
      <c r="C389" s="7"/>
      <c r="D389" s="7" t="s">
        <v>336</v>
      </c>
      <c r="E389" s="3" t="s">
        <v>337</v>
      </c>
      <c r="F389" s="146">
        <v>0</v>
      </c>
      <c r="G389" s="146"/>
      <c r="H389" s="146">
        <v>0</v>
      </c>
      <c r="I389" s="146"/>
      <c r="J389" s="146">
        <v>0</v>
      </c>
      <c r="K389" s="146">
        <f t="shared" si="84"/>
        <v>0</v>
      </c>
      <c r="L389" s="146">
        <f t="shared" si="84"/>
        <v>0</v>
      </c>
      <c r="M389" s="146">
        <f t="shared" si="84"/>
        <v>0</v>
      </c>
      <c r="N389" s="146">
        <f t="shared" si="84"/>
        <v>463</v>
      </c>
      <c r="O389" s="146"/>
      <c r="P389" s="146">
        <f>P390</f>
        <v>463</v>
      </c>
    </row>
    <row r="390" spans="1:16" ht="18" customHeight="1" x14ac:dyDescent="0.3">
      <c r="A390" s="7"/>
      <c r="B390" s="7"/>
      <c r="C390" s="7"/>
      <c r="D390" s="13"/>
      <c r="E390" s="10" t="s">
        <v>120</v>
      </c>
      <c r="F390" s="130">
        <f>2200-2200</f>
        <v>0</v>
      </c>
      <c r="G390" s="130"/>
      <c r="H390" s="130">
        <f>2200-2200</f>
        <v>0</v>
      </c>
      <c r="I390" s="130"/>
      <c r="J390" s="130">
        <f>2200-2200</f>
        <v>0</v>
      </c>
      <c r="K390" s="130">
        <v>0</v>
      </c>
      <c r="L390" s="130"/>
      <c r="M390" s="130">
        <v>0</v>
      </c>
      <c r="N390" s="130">
        <f>1297-350-484</f>
        <v>463</v>
      </c>
      <c r="O390" s="130"/>
      <c r="P390" s="130">
        <f>1297-350-484</f>
        <v>463</v>
      </c>
    </row>
    <row r="391" spans="1:16" ht="26.45" x14ac:dyDescent="0.3">
      <c r="A391" s="17"/>
      <c r="B391" s="17"/>
      <c r="C391" s="17" t="s">
        <v>369</v>
      </c>
      <c r="D391" s="17"/>
      <c r="E391" s="1" t="s">
        <v>585</v>
      </c>
      <c r="F391" s="146">
        <v>2690</v>
      </c>
      <c r="G391" s="146"/>
      <c r="H391" s="146">
        <v>2690</v>
      </c>
      <c r="I391" s="146"/>
      <c r="J391" s="146">
        <v>2690</v>
      </c>
      <c r="K391" s="146">
        <f>K392</f>
        <v>497.6</v>
      </c>
      <c r="L391" s="146">
        <f>L392</f>
        <v>0</v>
      </c>
      <c r="M391" s="146">
        <f>M392</f>
        <v>497.6</v>
      </c>
      <c r="N391" s="146">
        <v>2909</v>
      </c>
      <c r="O391" s="146"/>
      <c r="P391" s="146">
        <v>2909</v>
      </c>
    </row>
    <row r="392" spans="1:16" ht="27" x14ac:dyDescent="0.3">
      <c r="A392" s="17"/>
      <c r="B392" s="17"/>
      <c r="C392" s="17"/>
      <c r="D392" s="7" t="s">
        <v>336</v>
      </c>
      <c r="E392" s="3" t="s">
        <v>337</v>
      </c>
      <c r="F392" s="146">
        <v>2690</v>
      </c>
      <c r="G392" s="146"/>
      <c r="H392" s="146">
        <v>2690</v>
      </c>
      <c r="I392" s="146"/>
      <c r="J392" s="146">
        <v>2690</v>
      </c>
      <c r="K392" s="146">
        <v>497.6</v>
      </c>
      <c r="L392" s="146"/>
      <c r="M392" s="146">
        <v>497.6</v>
      </c>
      <c r="N392" s="146">
        <v>2909</v>
      </c>
      <c r="O392" s="146"/>
      <c r="P392" s="146">
        <v>2909</v>
      </c>
    </row>
    <row r="393" spans="1:16" ht="26.45" x14ac:dyDescent="0.3">
      <c r="A393" s="17"/>
      <c r="B393" s="17"/>
      <c r="C393" s="17" t="s">
        <v>370</v>
      </c>
      <c r="D393" s="17"/>
      <c r="E393" s="1" t="s">
        <v>371</v>
      </c>
      <c r="F393" s="146">
        <v>1600</v>
      </c>
      <c r="G393" s="146"/>
      <c r="H393" s="146">
        <f>H394+H395</f>
        <v>2074.8000000000002</v>
      </c>
      <c r="I393" s="146">
        <f>I394+I395</f>
        <v>0</v>
      </c>
      <c r="J393" s="146">
        <f>J394+J395</f>
        <v>2074.8000000000002</v>
      </c>
      <c r="K393" s="146">
        <f>K394</f>
        <v>460.59844999999996</v>
      </c>
      <c r="L393" s="146">
        <f>L394</f>
        <v>0</v>
      </c>
      <c r="M393" s="146">
        <f>M394</f>
        <v>460.59844999999996</v>
      </c>
      <c r="N393" s="146">
        <v>1730</v>
      </c>
      <c r="O393" s="146"/>
      <c r="P393" s="146">
        <v>1730</v>
      </c>
    </row>
    <row r="394" spans="1:16" ht="27" x14ac:dyDescent="0.3">
      <c r="A394" s="17"/>
      <c r="B394" s="17"/>
      <c r="C394" s="17"/>
      <c r="D394" s="7" t="s">
        <v>336</v>
      </c>
      <c r="E394" s="3" t="s">
        <v>337</v>
      </c>
      <c r="F394" s="146">
        <v>1600</v>
      </c>
      <c r="G394" s="146"/>
      <c r="H394" s="146">
        <v>1801</v>
      </c>
      <c r="I394" s="146"/>
      <c r="J394" s="146">
        <v>1801</v>
      </c>
      <c r="K394" s="146">
        <v>460.59844999999996</v>
      </c>
      <c r="L394" s="146"/>
      <c r="M394" s="146">
        <f>SUM(K394:L394)</f>
        <v>460.59844999999996</v>
      </c>
      <c r="N394" s="146">
        <v>1730</v>
      </c>
      <c r="O394" s="146"/>
      <c r="P394" s="146">
        <v>1730</v>
      </c>
    </row>
    <row r="395" spans="1:16" ht="25.5" x14ac:dyDescent="0.25">
      <c r="A395" s="17"/>
      <c r="B395" s="17"/>
      <c r="C395" s="17"/>
      <c r="D395" s="7" t="s">
        <v>608</v>
      </c>
      <c r="E395" s="1" t="s">
        <v>609</v>
      </c>
      <c r="F395" s="146"/>
      <c r="G395" s="146"/>
      <c r="H395" s="146">
        <v>273.8</v>
      </c>
      <c r="I395" s="146"/>
      <c r="J395" s="146">
        <v>273.8</v>
      </c>
      <c r="K395" s="146"/>
      <c r="L395" s="146"/>
      <c r="M395" s="146">
        <v>0</v>
      </c>
      <c r="N395" s="146"/>
      <c r="O395" s="146"/>
      <c r="P395" s="146">
        <v>0</v>
      </c>
    </row>
    <row r="396" spans="1:16" x14ac:dyDescent="0.25">
      <c r="A396" s="17"/>
      <c r="B396" s="17"/>
      <c r="C396" s="17" t="s">
        <v>801</v>
      </c>
      <c r="D396" s="7"/>
      <c r="E396" s="3" t="s">
        <v>802</v>
      </c>
      <c r="F396" s="146"/>
      <c r="G396" s="146"/>
      <c r="H396" s="146">
        <f>H397+H398</f>
        <v>821</v>
      </c>
      <c r="I396" s="146">
        <f>I398</f>
        <v>-33.1</v>
      </c>
      <c r="J396" s="146">
        <f>J397+J398</f>
        <v>787.9</v>
      </c>
      <c r="K396" s="146"/>
      <c r="L396" s="146"/>
      <c r="M396" s="146">
        <v>0</v>
      </c>
      <c r="N396" s="146"/>
      <c r="O396" s="146"/>
      <c r="P396" s="146">
        <v>0</v>
      </c>
    </row>
    <row r="397" spans="1:16" ht="26.25" x14ac:dyDescent="0.25">
      <c r="A397" s="17"/>
      <c r="B397" s="17"/>
      <c r="C397" s="17"/>
      <c r="D397" s="7" t="s">
        <v>336</v>
      </c>
      <c r="E397" s="3" t="s">
        <v>337</v>
      </c>
      <c r="F397" s="146"/>
      <c r="G397" s="146"/>
      <c r="H397" s="146">
        <v>600</v>
      </c>
      <c r="I397" s="146"/>
      <c r="J397" s="146">
        <v>600</v>
      </c>
      <c r="K397" s="146"/>
      <c r="L397" s="146"/>
      <c r="M397" s="146">
        <v>0</v>
      </c>
      <c r="N397" s="146"/>
      <c r="O397" s="146"/>
      <c r="P397" s="146">
        <v>0</v>
      </c>
    </row>
    <row r="398" spans="1:16" ht="25.5" x14ac:dyDescent="0.25">
      <c r="A398" s="17"/>
      <c r="B398" s="17"/>
      <c r="C398" s="17"/>
      <c r="D398" s="7" t="s">
        <v>608</v>
      </c>
      <c r="E398" s="1" t="s">
        <v>609</v>
      </c>
      <c r="F398" s="146"/>
      <c r="G398" s="146"/>
      <c r="H398" s="146">
        <v>221</v>
      </c>
      <c r="I398" s="146">
        <v>-33.1</v>
      </c>
      <c r="J398" s="146">
        <f>H398+I398</f>
        <v>187.9</v>
      </c>
      <c r="K398" s="146"/>
      <c r="L398" s="146"/>
      <c r="M398" s="146">
        <v>0</v>
      </c>
      <c r="N398" s="146"/>
      <c r="O398" s="146"/>
      <c r="P398" s="146">
        <v>0</v>
      </c>
    </row>
    <row r="399" spans="1:16" x14ac:dyDescent="0.25">
      <c r="A399" s="17"/>
      <c r="B399" s="17"/>
      <c r="C399" s="17" t="s">
        <v>803</v>
      </c>
      <c r="D399" s="7"/>
      <c r="E399" s="3" t="s">
        <v>804</v>
      </c>
      <c r="F399" s="146"/>
      <c r="G399" s="146"/>
      <c r="H399" s="146">
        <f>H400</f>
        <v>150</v>
      </c>
      <c r="I399" s="146"/>
      <c r="J399" s="146">
        <f>J400</f>
        <v>150</v>
      </c>
      <c r="K399" s="146"/>
      <c r="L399" s="146"/>
      <c r="M399" s="146">
        <v>0</v>
      </c>
      <c r="N399" s="146"/>
      <c r="O399" s="146"/>
      <c r="P399" s="146">
        <v>0</v>
      </c>
    </row>
    <row r="400" spans="1:16" ht="26.25" x14ac:dyDescent="0.25">
      <c r="A400" s="17"/>
      <c r="B400" s="17"/>
      <c r="C400" s="17"/>
      <c r="D400" s="7" t="s">
        <v>336</v>
      </c>
      <c r="E400" s="3" t="s">
        <v>337</v>
      </c>
      <c r="F400" s="146"/>
      <c r="G400" s="146"/>
      <c r="H400" s="146">
        <v>150</v>
      </c>
      <c r="I400" s="146"/>
      <c r="J400" s="146">
        <v>150</v>
      </c>
      <c r="K400" s="146"/>
      <c r="L400" s="146"/>
      <c r="M400" s="146">
        <v>0</v>
      </c>
      <c r="N400" s="146"/>
      <c r="O400" s="146"/>
      <c r="P400" s="146">
        <v>0</v>
      </c>
    </row>
    <row r="401" spans="1:16" x14ac:dyDescent="0.25">
      <c r="A401" s="17"/>
      <c r="B401" s="17"/>
      <c r="C401" s="17" t="s">
        <v>833</v>
      </c>
      <c r="D401" s="7"/>
      <c r="E401" s="208" t="s">
        <v>834</v>
      </c>
      <c r="F401" s="146"/>
      <c r="G401" s="146"/>
      <c r="H401" s="146">
        <f>H402</f>
        <v>0</v>
      </c>
      <c r="I401" s="146">
        <f t="shared" ref="I401:J401" si="85">I402</f>
        <v>0</v>
      </c>
      <c r="J401" s="146">
        <f t="shared" si="85"/>
        <v>0</v>
      </c>
      <c r="K401" s="146"/>
      <c r="L401" s="146"/>
      <c r="M401" s="146">
        <v>0</v>
      </c>
      <c r="N401" s="146"/>
      <c r="O401" s="146"/>
      <c r="P401" s="146">
        <v>0</v>
      </c>
    </row>
    <row r="402" spans="1:16" ht="27" x14ac:dyDescent="0.3">
      <c r="A402" s="17"/>
      <c r="B402" s="17"/>
      <c r="C402" s="17"/>
      <c r="D402" s="7" t="s">
        <v>336</v>
      </c>
      <c r="E402" s="3" t="s">
        <v>337</v>
      </c>
      <c r="F402" s="146"/>
      <c r="G402" s="146"/>
      <c r="H402" s="146">
        <v>0</v>
      </c>
      <c r="I402" s="146"/>
      <c r="J402" s="146"/>
      <c r="K402" s="146"/>
      <c r="L402" s="146"/>
      <c r="M402" s="146"/>
      <c r="N402" s="146"/>
      <c r="O402" s="146"/>
      <c r="P402" s="146"/>
    </row>
    <row r="403" spans="1:16" ht="26.25" customHeight="1" x14ac:dyDescent="0.3">
      <c r="A403" s="36"/>
      <c r="B403" s="36"/>
      <c r="C403" s="36" t="s">
        <v>373</v>
      </c>
      <c r="D403" s="39"/>
      <c r="E403" s="22" t="s">
        <v>374</v>
      </c>
      <c r="F403" s="131">
        <f>F404+F406+F408</f>
        <v>2117</v>
      </c>
      <c r="G403" s="131"/>
      <c r="H403" s="131">
        <f>H404+H406+H408</f>
        <v>1780.7645</v>
      </c>
      <c r="I403" s="131">
        <f>I404+I406+I408</f>
        <v>0</v>
      </c>
      <c r="J403" s="131">
        <f>J404+J406+J408</f>
        <v>1780.7645</v>
      </c>
      <c r="K403" s="131">
        <f>K404+K406+K408</f>
        <v>0</v>
      </c>
      <c r="L403" s="131"/>
      <c r="M403" s="131">
        <f>M404+M406+M408</f>
        <v>0</v>
      </c>
      <c r="N403" s="131">
        <f>N404+N406+N408</f>
        <v>0</v>
      </c>
      <c r="O403" s="131"/>
      <c r="P403" s="131">
        <f>P404+P406+P408</f>
        <v>0</v>
      </c>
    </row>
    <row r="404" spans="1:16" ht="14.45" x14ac:dyDescent="0.3">
      <c r="A404" s="81"/>
      <c r="B404" s="81"/>
      <c r="C404" s="7" t="s">
        <v>375</v>
      </c>
      <c r="D404" s="66"/>
      <c r="E404" s="65" t="s">
        <v>376</v>
      </c>
      <c r="F404" s="146">
        <v>300</v>
      </c>
      <c r="G404" s="146"/>
      <c r="H404" s="146">
        <f>H405</f>
        <v>200.96449999999999</v>
      </c>
      <c r="I404" s="146">
        <f>I405</f>
        <v>0</v>
      </c>
      <c r="J404" s="146">
        <f>SUM(H404:I404)</f>
        <v>200.96449999999999</v>
      </c>
      <c r="K404" s="146">
        <v>0</v>
      </c>
      <c r="L404" s="146"/>
      <c r="M404" s="146">
        <v>0</v>
      </c>
      <c r="N404" s="146">
        <v>0</v>
      </c>
      <c r="O404" s="146"/>
      <c r="P404" s="146">
        <v>0</v>
      </c>
    </row>
    <row r="405" spans="1:16" ht="27" x14ac:dyDescent="0.3">
      <c r="A405" s="81"/>
      <c r="B405" s="81"/>
      <c r="C405" s="13"/>
      <c r="D405" s="7" t="s">
        <v>336</v>
      </c>
      <c r="E405" s="3" t="s">
        <v>337</v>
      </c>
      <c r="F405" s="146">
        <v>300</v>
      </c>
      <c r="G405" s="146"/>
      <c r="H405" s="146">
        <v>200.96449999999999</v>
      </c>
      <c r="I405" s="146"/>
      <c r="J405" s="146">
        <f>SUM(H405:I405)</f>
        <v>200.96449999999999</v>
      </c>
      <c r="K405" s="146">
        <v>0</v>
      </c>
      <c r="L405" s="146"/>
      <c r="M405" s="146">
        <v>0</v>
      </c>
      <c r="N405" s="146">
        <v>0</v>
      </c>
      <c r="O405" s="146"/>
      <c r="P405" s="146">
        <v>0</v>
      </c>
    </row>
    <row r="406" spans="1:16" ht="27" x14ac:dyDescent="0.3">
      <c r="A406" s="81"/>
      <c r="B406" s="81"/>
      <c r="C406" s="7" t="s">
        <v>381</v>
      </c>
      <c r="D406" s="24"/>
      <c r="E406" s="65" t="s">
        <v>382</v>
      </c>
      <c r="F406" s="146">
        <v>1135.7</v>
      </c>
      <c r="G406" s="146"/>
      <c r="H406" s="146">
        <f>H407</f>
        <v>898.5</v>
      </c>
      <c r="I406" s="146">
        <f>I407</f>
        <v>0</v>
      </c>
      <c r="J406" s="146">
        <f>J407</f>
        <v>898.5</v>
      </c>
      <c r="K406" s="146">
        <v>0</v>
      </c>
      <c r="L406" s="146"/>
      <c r="M406" s="146">
        <v>0</v>
      </c>
      <c r="N406" s="146">
        <v>0</v>
      </c>
      <c r="O406" s="146"/>
      <c r="P406" s="146">
        <v>0</v>
      </c>
    </row>
    <row r="407" spans="1:16" ht="27" x14ac:dyDescent="0.3">
      <c r="A407" s="81"/>
      <c r="B407" s="81"/>
      <c r="C407" s="19"/>
      <c r="D407" s="7" t="s">
        <v>336</v>
      </c>
      <c r="E407" s="3" t="s">
        <v>337</v>
      </c>
      <c r="F407" s="146">
        <v>1135.7</v>
      </c>
      <c r="G407" s="146"/>
      <c r="H407" s="146">
        <v>898.5</v>
      </c>
      <c r="I407" s="130"/>
      <c r="J407" s="146">
        <f>SUM(H407:I407)</f>
        <v>898.5</v>
      </c>
      <c r="K407" s="146">
        <v>0</v>
      </c>
      <c r="L407" s="146"/>
      <c r="M407" s="146">
        <v>0</v>
      </c>
      <c r="N407" s="146">
        <v>0</v>
      </c>
      <c r="O407" s="146"/>
      <c r="P407" s="146">
        <v>0</v>
      </c>
    </row>
    <row r="408" spans="1:16" ht="26.45" x14ac:dyDescent="0.3">
      <c r="A408" s="81"/>
      <c r="B408" s="81"/>
      <c r="C408" s="17" t="s">
        <v>586</v>
      </c>
      <c r="D408" s="19"/>
      <c r="E408" s="1" t="s">
        <v>383</v>
      </c>
      <c r="F408" s="146">
        <v>681.3</v>
      </c>
      <c r="G408" s="146"/>
      <c r="H408" s="146">
        <v>681.3</v>
      </c>
      <c r="I408" s="146"/>
      <c r="J408" s="146">
        <v>681.3</v>
      </c>
      <c r="K408" s="146">
        <v>0</v>
      </c>
      <c r="L408" s="146"/>
      <c r="M408" s="146">
        <v>0</v>
      </c>
      <c r="N408" s="146">
        <v>0</v>
      </c>
      <c r="O408" s="146"/>
      <c r="P408" s="146">
        <v>0</v>
      </c>
    </row>
    <row r="409" spans="1:16" ht="27" x14ac:dyDescent="0.3">
      <c r="A409" s="81"/>
      <c r="B409" s="81"/>
      <c r="C409" s="17"/>
      <c r="D409" s="7" t="s">
        <v>336</v>
      </c>
      <c r="E409" s="3" t="s">
        <v>337</v>
      </c>
      <c r="F409" s="146">
        <v>681.3</v>
      </c>
      <c r="G409" s="146"/>
      <c r="H409" s="146">
        <v>681.3</v>
      </c>
      <c r="I409" s="146"/>
      <c r="J409" s="146">
        <v>681.3</v>
      </c>
      <c r="K409" s="146">
        <v>0</v>
      </c>
      <c r="L409" s="146"/>
      <c r="M409" s="146">
        <v>0</v>
      </c>
      <c r="N409" s="146">
        <v>0</v>
      </c>
      <c r="O409" s="146"/>
      <c r="P409" s="146">
        <v>0</v>
      </c>
    </row>
    <row r="410" spans="1:16" ht="27" x14ac:dyDescent="0.3">
      <c r="A410" s="34"/>
      <c r="B410" s="34"/>
      <c r="C410" s="34" t="s">
        <v>385</v>
      </c>
      <c r="D410" s="34"/>
      <c r="E410" s="60" t="s">
        <v>386</v>
      </c>
      <c r="F410" s="139">
        <f>F411</f>
        <v>15746.8</v>
      </c>
      <c r="G410" s="139"/>
      <c r="H410" s="139">
        <f t="shared" ref="H410:J411" si="86">H411</f>
        <v>421.20000000000005</v>
      </c>
      <c r="I410" s="139">
        <f t="shared" si="86"/>
        <v>0</v>
      </c>
      <c r="J410" s="139">
        <f t="shared" si="86"/>
        <v>421.20000000000005</v>
      </c>
      <c r="K410" s="139">
        <f t="shared" ref="K410:P411" si="87">K411</f>
        <v>329.3</v>
      </c>
      <c r="L410" s="139">
        <f t="shared" si="87"/>
        <v>0</v>
      </c>
      <c r="M410" s="139">
        <f t="shared" si="87"/>
        <v>329.3</v>
      </c>
      <c r="N410" s="139">
        <f t="shared" si="87"/>
        <v>329.3</v>
      </c>
      <c r="O410" s="139">
        <f t="shared" si="87"/>
        <v>0</v>
      </c>
      <c r="P410" s="139">
        <f t="shared" si="87"/>
        <v>329.3</v>
      </c>
    </row>
    <row r="411" spans="1:16" ht="27" x14ac:dyDescent="0.3">
      <c r="A411" s="36"/>
      <c r="B411" s="36"/>
      <c r="C411" s="36" t="s">
        <v>408</v>
      </c>
      <c r="D411" s="36"/>
      <c r="E411" s="22" t="s">
        <v>409</v>
      </c>
      <c r="F411" s="131">
        <f>F412</f>
        <v>15746.8</v>
      </c>
      <c r="G411" s="131"/>
      <c r="H411" s="131">
        <f t="shared" si="86"/>
        <v>421.20000000000005</v>
      </c>
      <c r="I411" s="131">
        <f t="shared" si="86"/>
        <v>0</v>
      </c>
      <c r="J411" s="131">
        <f t="shared" si="86"/>
        <v>421.20000000000005</v>
      </c>
      <c r="K411" s="131">
        <f t="shared" si="87"/>
        <v>329.3</v>
      </c>
      <c r="L411" s="131">
        <f t="shared" si="87"/>
        <v>0</v>
      </c>
      <c r="M411" s="131">
        <f t="shared" si="87"/>
        <v>329.3</v>
      </c>
      <c r="N411" s="131">
        <f t="shared" si="87"/>
        <v>329.3</v>
      </c>
      <c r="O411" s="131">
        <f t="shared" si="87"/>
        <v>0</v>
      </c>
      <c r="P411" s="131">
        <f t="shared" si="87"/>
        <v>329.3</v>
      </c>
    </row>
    <row r="412" spans="1:16" ht="26.45" x14ac:dyDescent="0.3">
      <c r="A412" s="81"/>
      <c r="B412" s="81"/>
      <c r="C412" s="7" t="s">
        <v>410</v>
      </c>
      <c r="D412" s="7"/>
      <c r="E412" s="23" t="s">
        <v>411</v>
      </c>
      <c r="F412" s="130">
        <f>14309.4+1437.4</f>
        <v>15746.8</v>
      </c>
      <c r="G412" s="130"/>
      <c r="H412" s="130">
        <f>H413</f>
        <v>421.20000000000005</v>
      </c>
      <c r="I412" s="130">
        <f>I413</f>
        <v>0</v>
      </c>
      <c r="J412" s="130">
        <f>J413</f>
        <v>421.20000000000005</v>
      </c>
      <c r="K412" s="130">
        <f>K413</f>
        <v>329.3</v>
      </c>
      <c r="L412" s="130"/>
      <c r="M412" s="130">
        <f>M413</f>
        <v>329.3</v>
      </c>
      <c r="N412" s="130">
        <f>N413</f>
        <v>329.3</v>
      </c>
      <c r="O412" s="130"/>
      <c r="P412" s="130">
        <f>P413</f>
        <v>329.3</v>
      </c>
    </row>
    <row r="413" spans="1:16" ht="26.45" x14ac:dyDescent="0.3">
      <c r="A413" s="81"/>
      <c r="B413" s="81"/>
      <c r="C413" s="7"/>
      <c r="D413" s="7" t="s">
        <v>608</v>
      </c>
      <c r="E413" s="1" t="s">
        <v>609</v>
      </c>
      <c r="F413" s="130">
        <f>14309.4+1437.4</f>
        <v>15746.8</v>
      </c>
      <c r="G413" s="130"/>
      <c r="H413" s="130">
        <v>421.20000000000005</v>
      </c>
      <c r="I413" s="146"/>
      <c r="J413" s="130">
        <f>SUM(H413:I413)</f>
        <v>421.20000000000005</v>
      </c>
      <c r="K413" s="146">
        <v>329.3</v>
      </c>
      <c r="L413" s="146"/>
      <c r="M413" s="146">
        <f>SUM(K413:L413)</f>
        <v>329.3</v>
      </c>
      <c r="N413" s="146">
        <v>329.3</v>
      </c>
      <c r="O413" s="146"/>
      <c r="P413" s="130">
        <f>SUM(N413:O413)</f>
        <v>329.3</v>
      </c>
    </row>
    <row r="414" spans="1:16" ht="39.6" x14ac:dyDescent="0.3">
      <c r="A414" s="93"/>
      <c r="B414" s="94"/>
      <c r="C414" s="95" t="s">
        <v>444</v>
      </c>
      <c r="D414" s="94"/>
      <c r="E414" s="96" t="s">
        <v>493</v>
      </c>
      <c r="F414" s="138">
        <f>F415+F418+F424</f>
        <v>9104.6049999999996</v>
      </c>
      <c r="G414" s="138"/>
      <c r="H414" s="138">
        <f>H415+H418+H424</f>
        <v>9230.6049999999996</v>
      </c>
      <c r="I414" s="138">
        <f>I415+I418+I424</f>
        <v>-83.699999999999989</v>
      </c>
      <c r="J414" s="138">
        <f>J415+J418+J424</f>
        <v>9146.9050000000007</v>
      </c>
      <c r="K414" s="138">
        <f>K415+K418+K424</f>
        <v>10433.211000000001</v>
      </c>
      <c r="L414" s="138"/>
      <c r="M414" s="138">
        <f>M415+M418+M424</f>
        <v>10433.211000000001</v>
      </c>
      <c r="N414" s="138">
        <f>N415+N418+N424</f>
        <v>10051.871999999999</v>
      </c>
      <c r="O414" s="138"/>
      <c r="P414" s="138">
        <f>P415+P418+P424</f>
        <v>10051.871999999999</v>
      </c>
    </row>
    <row r="415" spans="1:16" ht="27" x14ac:dyDescent="0.3">
      <c r="A415" s="36"/>
      <c r="B415" s="36"/>
      <c r="C415" s="36" t="s">
        <v>599</v>
      </c>
      <c r="D415" s="39"/>
      <c r="E415" s="37" t="s">
        <v>494</v>
      </c>
      <c r="F415" s="131">
        <f>F416</f>
        <v>100</v>
      </c>
      <c r="G415" s="131"/>
      <c r="H415" s="131">
        <f>H416</f>
        <v>226</v>
      </c>
      <c r="I415" s="131"/>
      <c r="J415" s="131">
        <f>J416</f>
        <v>226</v>
      </c>
      <c r="K415" s="131">
        <f>K416</f>
        <v>104</v>
      </c>
      <c r="L415" s="131"/>
      <c r="M415" s="131">
        <f>M416</f>
        <v>104</v>
      </c>
      <c r="N415" s="131">
        <f>N416</f>
        <v>108.2</v>
      </c>
      <c r="O415" s="131"/>
      <c r="P415" s="131">
        <f>P416</f>
        <v>108.2</v>
      </c>
    </row>
    <row r="416" spans="1:16" ht="14.45" x14ac:dyDescent="0.3">
      <c r="A416" s="4"/>
      <c r="B416" s="4"/>
      <c r="C416" s="4" t="s">
        <v>600</v>
      </c>
      <c r="D416" s="17"/>
      <c r="E416" s="1" t="s">
        <v>495</v>
      </c>
      <c r="F416" s="130">
        <v>100</v>
      </c>
      <c r="G416" s="130"/>
      <c r="H416" s="130">
        <f>H417</f>
        <v>226</v>
      </c>
      <c r="I416" s="130"/>
      <c r="J416" s="130">
        <f>J417</f>
        <v>226</v>
      </c>
      <c r="K416" s="130">
        <v>104</v>
      </c>
      <c r="L416" s="130"/>
      <c r="M416" s="130">
        <v>104</v>
      </c>
      <c r="N416" s="130">
        <v>108.2</v>
      </c>
      <c r="O416" s="130"/>
      <c r="P416" s="130">
        <v>108.2</v>
      </c>
    </row>
    <row r="417" spans="1:16" ht="27" x14ac:dyDescent="0.3">
      <c r="A417" s="4"/>
      <c r="B417" s="4"/>
      <c r="C417" s="4"/>
      <c r="D417" s="7" t="s">
        <v>336</v>
      </c>
      <c r="E417" s="3" t="s">
        <v>337</v>
      </c>
      <c r="F417" s="130">
        <v>100</v>
      </c>
      <c r="G417" s="130"/>
      <c r="H417" s="130">
        <v>226</v>
      </c>
      <c r="I417" s="130"/>
      <c r="J417" s="130">
        <v>226</v>
      </c>
      <c r="K417" s="130">
        <v>104</v>
      </c>
      <c r="L417" s="130"/>
      <c r="M417" s="130">
        <v>104</v>
      </c>
      <c r="N417" s="130">
        <v>108.2</v>
      </c>
      <c r="O417" s="130"/>
      <c r="P417" s="130">
        <v>108.2</v>
      </c>
    </row>
    <row r="418" spans="1:16" ht="27" x14ac:dyDescent="0.3">
      <c r="A418" s="36"/>
      <c r="B418" s="36"/>
      <c r="C418" s="36" t="s">
        <v>601</v>
      </c>
      <c r="D418" s="39"/>
      <c r="E418" s="37" t="s">
        <v>496</v>
      </c>
      <c r="F418" s="131">
        <f>F419</f>
        <v>6605.8760000000002</v>
      </c>
      <c r="G418" s="131"/>
      <c r="H418" s="131">
        <f>H419</f>
        <v>6605.8760000000002</v>
      </c>
      <c r="I418" s="131"/>
      <c r="J418" s="131">
        <f>J419</f>
        <v>6605.8760000000002</v>
      </c>
      <c r="K418" s="131">
        <f>K419</f>
        <v>7318.4800000000005</v>
      </c>
      <c r="L418" s="131"/>
      <c r="M418" s="131">
        <f>M419</f>
        <v>7318.4800000000005</v>
      </c>
      <c r="N418" s="131">
        <f>N419</f>
        <v>7297.4939999999997</v>
      </c>
      <c r="O418" s="131"/>
      <c r="P418" s="131">
        <f>P419</f>
        <v>7297.4939999999997</v>
      </c>
    </row>
    <row r="419" spans="1:16" ht="26.45" x14ac:dyDescent="0.3">
      <c r="A419" s="4"/>
      <c r="B419" s="4"/>
      <c r="C419" s="4" t="s">
        <v>602</v>
      </c>
      <c r="D419" s="17"/>
      <c r="E419" s="1" t="s">
        <v>497</v>
      </c>
      <c r="F419" s="130">
        <f>F421+F422+F423</f>
        <v>6605.8760000000002</v>
      </c>
      <c r="G419" s="130"/>
      <c r="H419" s="130">
        <f>H421+H422+H423</f>
        <v>6605.8760000000002</v>
      </c>
      <c r="I419" s="130"/>
      <c r="J419" s="130">
        <f>J421+J422+J423</f>
        <v>6605.8760000000002</v>
      </c>
      <c r="K419" s="130">
        <f>K421+K422+K423</f>
        <v>7318.4800000000005</v>
      </c>
      <c r="L419" s="130"/>
      <c r="M419" s="130">
        <f>M421+M422+M423</f>
        <v>7318.4800000000005</v>
      </c>
      <c r="N419" s="130">
        <f>N421+N422+N423</f>
        <v>7297.4939999999997</v>
      </c>
      <c r="O419" s="130"/>
      <c r="P419" s="130">
        <f>P421+P422+P423</f>
        <v>7297.4939999999997</v>
      </c>
    </row>
    <row r="420" spans="1:16" ht="27" x14ac:dyDescent="0.3">
      <c r="A420" s="4"/>
      <c r="B420" s="4"/>
      <c r="C420" s="4"/>
      <c r="D420" s="7" t="s">
        <v>336</v>
      </c>
      <c r="E420" s="3" t="s">
        <v>337</v>
      </c>
      <c r="F420" s="130">
        <f>F421+F423+F422</f>
        <v>6605.8760000000002</v>
      </c>
      <c r="G420" s="130"/>
      <c r="H420" s="130">
        <f>H421+H423+H422</f>
        <v>6605.8760000000002</v>
      </c>
      <c r="I420" s="130"/>
      <c r="J420" s="130">
        <f>J421+J423+J422</f>
        <v>6605.8760000000002</v>
      </c>
      <c r="K420" s="130">
        <f>K421+K423+K422</f>
        <v>7318.4800000000005</v>
      </c>
      <c r="L420" s="130"/>
      <c r="M420" s="130">
        <f>M421+M423+M422</f>
        <v>7318.4800000000005</v>
      </c>
      <c r="N420" s="130">
        <f>N421+N423+N422</f>
        <v>7297.4939999999997</v>
      </c>
      <c r="O420" s="130"/>
      <c r="P420" s="130">
        <f>P421+P423+P422</f>
        <v>7297.4939999999997</v>
      </c>
    </row>
    <row r="421" spans="1:16" ht="14.45" x14ac:dyDescent="0.3">
      <c r="A421" s="4"/>
      <c r="B421" s="4"/>
      <c r="C421" s="4"/>
      <c r="D421" s="7"/>
      <c r="E421" s="3" t="s">
        <v>222</v>
      </c>
      <c r="F421" s="130">
        <f>5648+0.024</f>
        <v>5648.0240000000003</v>
      </c>
      <c r="G421" s="130"/>
      <c r="H421" s="130">
        <f>5648+0.024</f>
        <v>5648.0240000000003</v>
      </c>
      <c r="I421" s="130"/>
      <c r="J421" s="130">
        <f>5648+0.024</f>
        <v>5648.0240000000003</v>
      </c>
      <c r="K421" s="130">
        <v>6257.3</v>
      </c>
      <c r="L421" s="130"/>
      <c r="M421" s="130">
        <v>6257.3</v>
      </c>
      <c r="N421" s="130">
        <f>6239.3+0.058</f>
        <v>6239.3580000000002</v>
      </c>
      <c r="O421" s="130"/>
      <c r="P421" s="130">
        <f>6239.3+0.058</f>
        <v>6239.3580000000002</v>
      </c>
    </row>
    <row r="422" spans="1:16" ht="14.45" x14ac:dyDescent="0.3">
      <c r="A422" s="4"/>
      <c r="B422" s="4"/>
      <c r="C422" s="4"/>
      <c r="D422" s="7"/>
      <c r="E422" s="3" t="s">
        <v>219</v>
      </c>
      <c r="F422" s="130">
        <f>297.3-0.036</f>
        <v>297.26400000000001</v>
      </c>
      <c r="G422" s="130"/>
      <c r="H422" s="130">
        <f>297.3-0.036</f>
        <v>297.26400000000001</v>
      </c>
      <c r="I422" s="130"/>
      <c r="J422" s="130">
        <f>297.3-0.036</f>
        <v>297.26400000000001</v>
      </c>
      <c r="K422" s="130">
        <f>329.3+0.032</f>
        <v>329.33199999999999</v>
      </c>
      <c r="L422" s="130"/>
      <c r="M422" s="130">
        <f>329.3+0.032</f>
        <v>329.33199999999999</v>
      </c>
      <c r="N422" s="130">
        <f>328.4-0.013</f>
        <v>328.387</v>
      </c>
      <c r="O422" s="130"/>
      <c r="P422" s="130">
        <f>328.4-0.013</f>
        <v>328.387</v>
      </c>
    </row>
    <row r="423" spans="1:16" ht="14.45" x14ac:dyDescent="0.3">
      <c r="A423" s="4"/>
      <c r="B423" s="4"/>
      <c r="C423" s="4"/>
      <c r="D423" s="7"/>
      <c r="E423" s="3" t="s">
        <v>171</v>
      </c>
      <c r="F423" s="130">
        <f>660.6-0.012</f>
        <v>660.58800000000008</v>
      </c>
      <c r="G423" s="130"/>
      <c r="H423" s="130">
        <f>660.6-0.012</f>
        <v>660.58800000000008</v>
      </c>
      <c r="I423" s="130"/>
      <c r="J423" s="130">
        <f>660.6-0.012</f>
        <v>660.58800000000008</v>
      </c>
      <c r="K423" s="130">
        <f>731.8+0.048</f>
        <v>731.84799999999996</v>
      </c>
      <c r="L423" s="130"/>
      <c r="M423" s="130">
        <f>731.8+0.048</f>
        <v>731.84799999999996</v>
      </c>
      <c r="N423" s="130">
        <f>729.7+0.049</f>
        <v>729.74900000000002</v>
      </c>
      <c r="O423" s="130"/>
      <c r="P423" s="130">
        <f>729.7+0.049</f>
        <v>729.74900000000002</v>
      </c>
    </row>
    <row r="424" spans="1:16" ht="27" x14ac:dyDescent="0.3">
      <c r="A424" s="36"/>
      <c r="B424" s="36"/>
      <c r="C424" s="36" t="s">
        <v>603</v>
      </c>
      <c r="D424" s="39"/>
      <c r="E424" s="37" t="s">
        <v>498</v>
      </c>
      <c r="F424" s="131">
        <f>F425</f>
        <v>2398.7289999999998</v>
      </c>
      <c r="G424" s="131"/>
      <c r="H424" s="131">
        <f>H425</f>
        <v>2398.7289999999998</v>
      </c>
      <c r="I424" s="131">
        <f>I425</f>
        <v>-83.699999999999989</v>
      </c>
      <c r="J424" s="131">
        <f>J425</f>
        <v>2315.029</v>
      </c>
      <c r="K424" s="131">
        <f>K425</f>
        <v>3010.7310000000002</v>
      </c>
      <c r="L424" s="131"/>
      <c r="M424" s="131">
        <f>M425</f>
        <v>3010.7310000000002</v>
      </c>
      <c r="N424" s="131">
        <f>N425</f>
        <v>2646.1779999999999</v>
      </c>
      <c r="O424" s="131"/>
      <c r="P424" s="131">
        <f>P425</f>
        <v>2646.1779999999999</v>
      </c>
    </row>
    <row r="425" spans="1:16" ht="26.45" x14ac:dyDescent="0.3">
      <c r="A425" s="81"/>
      <c r="B425" s="81"/>
      <c r="C425" s="4" t="s">
        <v>604</v>
      </c>
      <c r="D425" s="17"/>
      <c r="E425" s="1" t="s">
        <v>499</v>
      </c>
      <c r="F425" s="130">
        <f>F427+F428</f>
        <v>2398.7289999999998</v>
      </c>
      <c r="G425" s="130"/>
      <c r="H425" s="130">
        <f>H427+H428</f>
        <v>2398.7289999999998</v>
      </c>
      <c r="I425" s="130">
        <f>I427+I428</f>
        <v>-83.699999999999989</v>
      </c>
      <c r="J425" s="130">
        <f>J427+J428</f>
        <v>2315.029</v>
      </c>
      <c r="K425" s="130">
        <f>K427+K428</f>
        <v>3010.7310000000002</v>
      </c>
      <c r="L425" s="130"/>
      <c r="M425" s="130">
        <f>M427+M428</f>
        <v>3010.7310000000002</v>
      </c>
      <c r="N425" s="130">
        <f>N427+N428</f>
        <v>2646.1779999999999</v>
      </c>
      <c r="O425" s="130"/>
      <c r="P425" s="130">
        <f>P427+P428</f>
        <v>2646.1779999999999</v>
      </c>
    </row>
    <row r="426" spans="1:16" ht="27" x14ac:dyDescent="0.3">
      <c r="A426" s="81"/>
      <c r="B426" s="81"/>
      <c r="C426" s="4"/>
      <c r="D426" s="7" t="s">
        <v>336</v>
      </c>
      <c r="E426" s="3" t="s">
        <v>337</v>
      </c>
      <c r="F426" s="130">
        <v>2398.6999999999998</v>
      </c>
      <c r="G426" s="130"/>
      <c r="H426" s="130">
        <v>2398.6999999999998</v>
      </c>
      <c r="I426" s="130">
        <f>I428</f>
        <v>-83.699999999999989</v>
      </c>
      <c r="J426" s="130">
        <v>2398.6999999999998</v>
      </c>
      <c r="K426" s="130">
        <v>3010.9</v>
      </c>
      <c r="L426" s="130"/>
      <c r="M426" s="130">
        <v>3010.9</v>
      </c>
      <c r="N426" s="130">
        <f>N427+N428</f>
        <v>2646.1779999999999</v>
      </c>
      <c r="O426" s="130"/>
      <c r="P426" s="130">
        <f>P427+P428</f>
        <v>2646.1779999999999</v>
      </c>
    </row>
    <row r="427" spans="1:16" ht="14.45" x14ac:dyDescent="0.3">
      <c r="A427" s="81"/>
      <c r="B427" s="81"/>
      <c r="C427" s="4"/>
      <c r="D427" s="7"/>
      <c r="E427" s="3" t="s">
        <v>219</v>
      </c>
      <c r="F427" s="130">
        <v>2083.529</v>
      </c>
      <c r="G427" s="130"/>
      <c r="H427" s="130">
        <v>2083.529</v>
      </c>
      <c r="I427" s="130"/>
      <c r="J427" s="130">
        <v>2083.529</v>
      </c>
      <c r="K427" s="130">
        <v>2709.7710000000002</v>
      </c>
      <c r="L427" s="130"/>
      <c r="M427" s="130">
        <v>2709.7710000000002</v>
      </c>
      <c r="N427" s="130">
        <v>2381.56</v>
      </c>
      <c r="O427" s="130"/>
      <c r="P427" s="130">
        <v>2381.56</v>
      </c>
    </row>
    <row r="428" spans="1:16" ht="14.45" x14ac:dyDescent="0.3">
      <c r="A428" s="81"/>
      <c r="B428" s="81"/>
      <c r="C428" s="4"/>
      <c r="D428" s="7"/>
      <c r="E428" s="3" t="s">
        <v>171</v>
      </c>
      <c r="F428" s="130">
        <v>315.2</v>
      </c>
      <c r="G428" s="130"/>
      <c r="H428" s="130">
        <v>315.2</v>
      </c>
      <c r="I428" s="130">
        <f>-32-3.8-47.9</f>
        <v>-83.699999999999989</v>
      </c>
      <c r="J428" s="130">
        <f>SUM(H428:I428)</f>
        <v>231.5</v>
      </c>
      <c r="K428" s="130">
        <v>300.96000000000004</v>
      </c>
      <c r="L428" s="130"/>
      <c r="M428" s="130">
        <v>300.96000000000004</v>
      </c>
      <c r="N428" s="130">
        <v>264.61799999999999</v>
      </c>
      <c r="O428" s="130"/>
      <c r="P428" s="130">
        <v>264.61799999999999</v>
      </c>
    </row>
    <row r="429" spans="1:16" s="48" customFormat="1" x14ac:dyDescent="0.25">
      <c r="A429" s="290"/>
      <c r="B429" s="290"/>
      <c r="C429" s="70" t="s">
        <v>500</v>
      </c>
      <c r="D429" s="70"/>
      <c r="E429" s="71" t="s">
        <v>501</v>
      </c>
      <c r="F429" s="152"/>
      <c r="G429" s="152"/>
      <c r="H429" s="152"/>
      <c r="I429" s="152">
        <f>I430</f>
        <v>67.8</v>
      </c>
      <c r="J429" s="152">
        <f>J430</f>
        <v>67.8</v>
      </c>
      <c r="K429" s="152"/>
      <c r="L429" s="152"/>
      <c r="M429" s="152">
        <v>0</v>
      </c>
      <c r="N429" s="152"/>
      <c r="O429" s="152"/>
      <c r="P429" s="152">
        <v>0</v>
      </c>
    </row>
    <row r="430" spans="1:16" s="48" customFormat="1" ht="39" x14ac:dyDescent="0.25">
      <c r="A430" s="176"/>
      <c r="B430" s="176"/>
      <c r="C430" s="291" t="s">
        <v>509</v>
      </c>
      <c r="D430" s="291"/>
      <c r="E430" s="292" t="s">
        <v>510</v>
      </c>
      <c r="F430" s="293"/>
      <c r="G430" s="293"/>
      <c r="H430" s="293"/>
      <c r="I430" s="293">
        <f>I431</f>
        <v>67.8</v>
      </c>
      <c r="J430" s="293">
        <f>J431</f>
        <v>67.8</v>
      </c>
      <c r="K430" s="293"/>
      <c r="L430" s="293"/>
      <c r="M430" s="293">
        <v>0</v>
      </c>
      <c r="N430" s="293"/>
      <c r="O430" s="293"/>
      <c r="P430" s="293">
        <v>0</v>
      </c>
    </row>
    <row r="431" spans="1:16" ht="25.5" x14ac:dyDescent="0.25">
      <c r="A431" s="81"/>
      <c r="B431" s="81"/>
      <c r="C431" s="24" t="s">
        <v>917</v>
      </c>
      <c r="D431" s="17"/>
      <c r="E431" s="23" t="s">
        <v>916</v>
      </c>
      <c r="F431" s="130"/>
      <c r="G431" s="130"/>
      <c r="H431" s="130"/>
      <c r="I431" s="130">
        <f>I432</f>
        <v>67.8</v>
      </c>
      <c r="J431" s="130">
        <f t="shared" ref="J431" si="88">I431</f>
        <v>67.8</v>
      </c>
      <c r="K431" s="130"/>
      <c r="L431" s="130"/>
      <c r="M431" s="130">
        <v>0</v>
      </c>
      <c r="N431" s="130"/>
      <c r="O431" s="130"/>
      <c r="P431" s="130">
        <v>0</v>
      </c>
    </row>
    <row r="432" spans="1:16" ht="25.5" x14ac:dyDescent="0.25">
      <c r="A432" s="81"/>
      <c r="B432" s="81"/>
      <c r="C432" s="18"/>
      <c r="D432" s="17" t="s">
        <v>608</v>
      </c>
      <c r="E432" s="1" t="s">
        <v>609</v>
      </c>
      <c r="F432" s="130"/>
      <c r="G432" s="130"/>
      <c r="H432" s="130"/>
      <c r="I432" s="130">
        <v>67.8</v>
      </c>
      <c r="J432" s="130">
        <f>I432</f>
        <v>67.8</v>
      </c>
      <c r="K432" s="130"/>
      <c r="L432" s="130"/>
      <c r="M432" s="130">
        <v>0</v>
      </c>
      <c r="N432" s="130"/>
      <c r="O432" s="130"/>
      <c r="P432" s="130">
        <v>0</v>
      </c>
    </row>
    <row r="433" spans="1:18" ht="14.45" x14ac:dyDescent="0.3">
      <c r="A433" s="85"/>
      <c r="B433" s="18" t="s">
        <v>665</v>
      </c>
      <c r="C433" s="86"/>
      <c r="D433" s="18"/>
      <c r="E433" s="87" t="s">
        <v>666</v>
      </c>
      <c r="F433" s="157">
        <f>F434</f>
        <v>15746.8</v>
      </c>
      <c r="G433" s="157"/>
      <c r="H433" s="157">
        <f t="shared" ref="H433:J437" si="89">H434</f>
        <v>15947.699999999999</v>
      </c>
      <c r="I433" s="157">
        <f t="shared" si="89"/>
        <v>0</v>
      </c>
      <c r="J433" s="157">
        <f t="shared" si="89"/>
        <v>15947.699999999999</v>
      </c>
      <c r="K433" s="157">
        <f t="shared" ref="K433:P436" si="90">K434</f>
        <v>16204.5</v>
      </c>
      <c r="L433" s="157">
        <f t="shared" si="90"/>
        <v>0</v>
      </c>
      <c r="M433" s="157">
        <f t="shared" si="90"/>
        <v>16204.5</v>
      </c>
      <c r="N433" s="157">
        <f t="shared" si="90"/>
        <v>16204.5</v>
      </c>
      <c r="O433" s="157">
        <f t="shared" si="90"/>
        <v>0</v>
      </c>
      <c r="P433" s="157">
        <f t="shared" si="90"/>
        <v>16204.5</v>
      </c>
    </row>
    <row r="434" spans="1:18" ht="26.45" x14ac:dyDescent="0.3">
      <c r="A434" s="85"/>
      <c r="B434" s="18"/>
      <c r="C434" s="86" t="s">
        <v>6</v>
      </c>
      <c r="D434" s="18"/>
      <c r="E434" s="90" t="s">
        <v>7</v>
      </c>
      <c r="F434" s="157">
        <f>F435</f>
        <v>15746.8</v>
      </c>
      <c r="G434" s="157"/>
      <c r="H434" s="157">
        <f t="shared" si="89"/>
        <v>15947.699999999999</v>
      </c>
      <c r="I434" s="157">
        <f t="shared" si="89"/>
        <v>0</v>
      </c>
      <c r="J434" s="157">
        <f t="shared" si="89"/>
        <v>15947.699999999999</v>
      </c>
      <c r="K434" s="157">
        <f t="shared" si="90"/>
        <v>16204.5</v>
      </c>
      <c r="L434" s="157">
        <f t="shared" si="90"/>
        <v>0</v>
      </c>
      <c r="M434" s="157">
        <f t="shared" si="90"/>
        <v>16204.5</v>
      </c>
      <c r="N434" s="157">
        <f t="shared" si="90"/>
        <v>16204.5</v>
      </c>
      <c r="O434" s="157">
        <f t="shared" si="90"/>
        <v>0</v>
      </c>
      <c r="P434" s="157">
        <f t="shared" si="90"/>
        <v>16204.5</v>
      </c>
    </row>
    <row r="435" spans="1:18" ht="26.45" x14ac:dyDescent="0.3">
      <c r="A435" s="93"/>
      <c r="B435" s="94"/>
      <c r="C435" s="95" t="s">
        <v>346</v>
      </c>
      <c r="D435" s="94"/>
      <c r="E435" s="96" t="s">
        <v>347</v>
      </c>
      <c r="F435" s="138">
        <f>F436</f>
        <v>15746.8</v>
      </c>
      <c r="G435" s="138"/>
      <c r="H435" s="138">
        <f t="shared" si="89"/>
        <v>15947.699999999999</v>
      </c>
      <c r="I435" s="138">
        <f t="shared" si="89"/>
        <v>0</v>
      </c>
      <c r="J435" s="138">
        <f t="shared" si="89"/>
        <v>15947.699999999999</v>
      </c>
      <c r="K435" s="138">
        <f t="shared" si="90"/>
        <v>16204.5</v>
      </c>
      <c r="L435" s="138">
        <f t="shared" si="90"/>
        <v>0</v>
      </c>
      <c r="M435" s="138">
        <f t="shared" si="90"/>
        <v>16204.5</v>
      </c>
      <c r="N435" s="138">
        <f t="shared" si="90"/>
        <v>16204.5</v>
      </c>
      <c r="O435" s="138">
        <f t="shared" si="90"/>
        <v>0</v>
      </c>
      <c r="P435" s="138">
        <f t="shared" si="90"/>
        <v>16204.5</v>
      </c>
      <c r="R435" s="45"/>
    </row>
    <row r="436" spans="1:18" ht="27" x14ac:dyDescent="0.3">
      <c r="A436" s="34"/>
      <c r="B436" s="34"/>
      <c r="C436" s="34" t="s">
        <v>385</v>
      </c>
      <c r="D436" s="34"/>
      <c r="E436" s="60" t="s">
        <v>386</v>
      </c>
      <c r="F436" s="139">
        <f>F437</f>
        <v>15746.8</v>
      </c>
      <c r="G436" s="139"/>
      <c r="H436" s="139">
        <f t="shared" si="89"/>
        <v>15947.699999999999</v>
      </c>
      <c r="I436" s="139">
        <f t="shared" si="89"/>
        <v>0</v>
      </c>
      <c r="J436" s="139">
        <f t="shared" si="89"/>
        <v>15947.699999999999</v>
      </c>
      <c r="K436" s="139">
        <f t="shared" ref="K436:L438" si="91">K437</f>
        <v>16204.5</v>
      </c>
      <c r="L436" s="139">
        <f t="shared" si="91"/>
        <v>0</v>
      </c>
      <c r="M436" s="139">
        <f t="shared" si="90"/>
        <v>16204.5</v>
      </c>
      <c r="N436" s="139">
        <f t="shared" si="90"/>
        <v>16204.5</v>
      </c>
      <c r="O436" s="139">
        <f t="shared" si="90"/>
        <v>0</v>
      </c>
      <c r="P436" s="139">
        <f>P437</f>
        <v>16204.5</v>
      </c>
    </row>
    <row r="437" spans="1:18" ht="27" x14ac:dyDescent="0.3">
      <c r="A437" s="36"/>
      <c r="B437" s="36"/>
      <c r="C437" s="36" t="s">
        <v>408</v>
      </c>
      <c r="D437" s="36"/>
      <c r="E437" s="22" t="s">
        <v>409</v>
      </c>
      <c r="F437" s="131">
        <f>F438</f>
        <v>15746.8</v>
      </c>
      <c r="G437" s="131"/>
      <c r="H437" s="131">
        <f t="shared" si="89"/>
        <v>15947.699999999999</v>
      </c>
      <c r="I437" s="131">
        <f t="shared" si="89"/>
        <v>0</v>
      </c>
      <c r="J437" s="131">
        <f t="shared" si="89"/>
        <v>15947.699999999999</v>
      </c>
      <c r="K437" s="131">
        <f t="shared" si="91"/>
        <v>16204.5</v>
      </c>
      <c r="L437" s="131">
        <f t="shared" si="91"/>
        <v>0</v>
      </c>
      <c r="M437" s="131">
        <f t="shared" ref="M437:O438" si="92">M438</f>
        <v>16204.5</v>
      </c>
      <c r="N437" s="131">
        <f t="shared" si="92"/>
        <v>16204.5</v>
      </c>
      <c r="O437" s="131">
        <f t="shared" si="92"/>
        <v>0</v>
      </c>
      <c r="P437" s="131">
        <f>P438</f>
        <v>16204.5</v>
      </c>
    </row>
    <row r="438" spans="1:18" ht="26.45" x14ac:dyDescent="0.3">
      <c r="A438" s="81"/>
      <c r="B438" s="81"/>
      <c r="C438" s="7" t="s">
        <v>410</v>
      </c>
      <c r="D438" s="7"/>
      <c r="E438" s="23" t="s">
        <v>411</v>
      </c>
      <c r="F438" s="130">
        <f>14309.4+1437.4</f>
        <v>15746.8</v>
      </c>
      <c r="G438" s="130"/>
      <c r="H438" s="130">
        <f>H439</f>
        <v>15947.699999999999</v>
      </c>
      <c r="I438" s="130">
        <f>I439</f>
        <v>0</v>
      </c>
      <c r="J438" s="130">
        <f>J439</f>
        <v>15947.699999999999</v>
      </c>
      <c r="K438" s="130">
        <f t="shared" si="91"/>
        <v>16204.5</v>
      </c>
      <c r="L438" s="130">
        <f t="shared" si="91"/>
        <v>0</v>
      </c>
      <c r="M438" s="130">
        <f t="shared" si="92"/>
        <v>16204.5</v>
      </c>
      <c r="N438" s="130">
        <f t="shared" si="92"/>
        <v>16204.5</v>
      </c>
      <c r="O438" s="130">
        <f t="shared" si="92"/>
        <v>0</v>
      </c>
      <c r="P438" s="130">
        <f>P439</f>
        <v>16204.5</v>
      </c>
    </row>
    <row r="439" spans="1:18" ht="26.45" x14ac:dyDescent="0.3">
      <c r="A439" s="81"/>
      <c r="B439" s="81"/>
      <c r="C439" s="7"/>
      <c r="D439" s="7" t="s">
        <v>608</v>
      </c>
      <c r="E439" s="1" t="s">
        <v>609</v>
      </c>
      <c r="F439" s="130">
        <f>14309.4+1437.4</f>
        <v>15746.8</v>
      </c>
      <c r="G439" s="130"/>
      <c r="H439" s="130">
        <v>15947.699999999999</v>
      </c>
      <c r="I439" s="130"/>
      <c r="J439" s="130">
        <f>14309.4+1437.4+200.9</f>
        <v>15947.699999999999</v>
      </c>
      <c r="K439" s="130">
        <v>16204.5</v>
      </c>
      <c r="L439" s="130"/>
      <c r="M439" s="130">
        <f>14309.4+1437.4+457.7</f>
        <v>16204.5</v>
      </c>
      <c r="N439" s="130">
        <v>16204.5</v>
      </c>
      <c r="O439" s="130"/>
      <c r="P439" s="130">
        <f>14309.4+1437.4+457.7</f>
        <v>16204.5</v>
      </c>
    </row>
    <row r="440" spans="1:18" ht="14.45" x14ac:dyDescent="0.3">
      <c r="A440" s="81"/>
      <c r="B440" s="18" t="s">
        <v>667</v>
      </c>
      <c r="C440" s="86"/>
      <c r="D440" s="85"/>
      <c r="E440" s="87" t="s">
        <v>668</v>
      </c>
      <c r="F440" s="137">
        <f t="shared" ref="F440:J444" si="93">F441</f>
        <v>72008.100000000006</v>
      </c>
      <c r="G440" s="137">
        <f t="shared" si="93"/>
        <v>4577.24</v>
      </c>
      <c r="H440" s="137">
        <f t="shared" si="93"/>
        <v>76585.340000000011</v>
      </c>
      <c r="I440" s="137"/>
      <c r="J440" s="137">
        <f t="shared" si="93"/>
        <v>76585.340000000011</v>
      </c>
      <c r="K440" s="137">
        <f t="shared" ref="K440:P444" si="94">K441</f>
        <v>20838.36</v>
      </c>
      <c r="L440" s="137">
        <f t="shared" si="94"/>
        <v>0</v>
      </c>
      <c r="M440" s="137">
        <f t="shared" si="94"/>
        <v>20838.36</v>
      </c>
      <c r="N440" s="137">
        <f t="shared" si="94"/>
        <v>4100</v>
      </c>
      <c r="O440" s="137">
        <f t="shared" si="94"/>
        <v>0</v>
      </c>
      <c r="P440" s="137">
        <f t="shared" si="94"/>
        <v>4100</v>
      </c>
    </row>
    <row r="441" spans="1:18" ht="14.45" x14ac:dyDescent="0.3">
      <c r="A441" s="81"/>
      <c r="B441" s="18" t="s">
        <v>669</v>
      </c>
      <c r="C441" s="86"/>
      <c r="D441" s="85"/>
      <c r="E441" s="87" t="s">
        <v>670</v>
      </c>
      <c r="F441" s="137">
        <f t="shared" si="93"/>
        <v>72008.100000000006</v>
      </c>
      <c r="G441" s="137">
        <f t="shared" si="93"/>
        <v>4577.24</v>
      </c>
      <c r="H441" s="137">
        <f t="shared" si="93"/>
        <v>76585.340000000011</v>
      </c>
      <c r="I441" s="137"/>
      <c r="J441" s="137">
        <f t="shared" si="93"/>
        <v>76585.340000000011</v>
      </c>
      <c r="K441" s="137">
        <f t="shared" si="94"/>
        <v>20838.36</v>
      </c>
      <c r="L441" s="137">
        <f t="shared" si="94"/>
        <v>0</v>
      </c>
      <c r="M441" s="137">
        <f t="shared" si="94"/>
        <v>20838.36</v>
      </c>
      <c r="N441" s="137">
        <f t="shared" si="94"/>
        <v>4100</v>
      </c>
      <c r="O441" s="137">
        <f t="shared" si="94"/>
        <v>0</v>
      </c>
      <c r="P441" s="137">
        <f t="shared" si="94"/>
        <v>4100</v>
      </c>
    </row>
    <row r="442" spans="1:18" ht="26.45" x14ac:dyDescent="0.3">
      <c r="A442" s="81"/>
      <c r="B442" s="18"/>
      <c r="C442" s="86" t="s">
        <v>6</v>
      </c>
      <c r="D442" s="85"/>
      <c r="E442" s="90" t="s">
        <v>7</v>
      </c>
      <c r="F442" s="137">
        <f t="shared" si="93"/>
        <v>72008.100000000006</v>
      </c>
      <c r="G442" s="137">
        <f t="shared" si="93"/>
        <v>4577.24</v>
      </c>
      <c r="H442" s="137">
        <f t="shared" si="93"/>
        <v>76585.340000000011</v>
      </c>
      <c r="I442" s="137"/>
      <c r="J442" s="137">
        <f t="shared" si="93"/>
        <v>76585.340000000011</v>
      </c>
      <c r="K442" s="137">
        <f t="shared" si="94"/>
        <v>20838.36</v>
      </c>
      <c r="L442" s="137">
        <f t="shared" si="94"/>
        <v>0</v>
      </c>
      <c r="M442" s="137">
        <f t="shared" si="94"/>
        <v>20838.36</v>
      </c>
      <c r="N442" s="137">
        <f t="shared" si="94"/>
        <v>4100</v>
      </c>
      <c r="O442" s="137">
        <f t="shared" si="94"/>
        <v>0</v>
      </c>
      <c r="P442" s="137">
        <f t="shared" si="94"/>
        <v>4100</v>
      </c>
    </row>
    <row r="443" spans="1:18" ht="26.45" x14ac:dyDescent="0.3">
      <c r="A443" s="93"/>
      <c r="B443" s="94"/>
      <c r="C443" s="95" t="s">
        <v>65</v>
      </c>
      <c r="D443" s="94"/>
      <c r="E443" s="96" t="s">
        <v>66</v>
      </c>
      <c r="F443" s="138">
        <f t="shared" si="93"/>
        <v>72008.100000000006</v>
      </c>
      <c r="G443" s="138">
        <f t="shared" si="93"/>
        <v>4577.24</v>
      </c>
      <c r="H443" s="138">
        <f t="shared" si="93"/>
        <v>76585.340000000011</v>
      </c>
      <c r="I443" s="138"/>
      <c r="J443" s="138">
        <f t="shared" si="93"/>
        <v>76585.340000000011</v>
      </c>
      <c r="K443" s="138">
        <f t="shared" si="94"/>
        <v>20838.36</v>
      </c>
      <c r="L443" s="138">
        <f t="shared" si="94"/>
        <v>0</v>
      </c>
      <c r="M443" s="138">
        <f t="shared" si="94"/>
        <v>20838.36</v>
      </c>
      <c r="N443" s="138">
        <f t="shared" si="94"/>
        <v>4100</v>
      </c>
      <c r="O443" s="138">
        <f t="shared" si="94"/>
        <v>0</v>
      </c>
      <c r="P443" s="138">
        <f t="shared" si="94"/>
        <v>4100</v>
      </c>
    </row>
    <row r="444" spans="1:18" ht="14.45" x14ac:dyDescent="0.3">
      <c r="A444" s="34"/>
      <c r="B444" s="34"/>
      <c r="C444" s="34" t="s">
        <v>85</v>
      </c>
      <c r="D444" s="34"/>
      <c r="E444" s="60" t="s">
        <v>86</v>
      </c>
      <c r="F444" s="139">
        <f t="shared" si="93"/>
        <v>72008.100000000006</v>
      </c>
      <c r="G444" s="139">
        <f t="shared" si="93"/>
        <v>4577.24</v>
      </c>
      <c r="H444" s="139">
        <f t="shared" si="93"/>
        <v>76585.340000000011</v>
      </c>
      <c r="I444" s="139"/>
      <c r="J444" s="139">
        <f t="shared" si="93"/>
        <v>76585.340000000011</v>
      </c>
      <c r="K444" s="139">
        <f t="shared" si="94"/>
        <v>20838.36</v>
      </c>
      <c r="L444" s="139">
        <f t="shared" si="94"/>
        <v>0</v>
      </c>
      <c r="M444" s="139">
        <f t="shared" si="94"/>
        <v>20838.36</v>
      </c>
      <c r="N444" s="139">
        <f t="shared" si="94"/>
        <v>4100</v>
      </c>
      <c r="O444" s="139">
        <f t="shared" si="94"/>
        <v>0</v>
      </c>
      <c r="P444" s="139">
        <f t="shared" si="94"/>
        <v>4100</v>
      </c>
    </row>
    <row r="445" spans="1:18" s="44" customFormat="1" ht="40.15" x14ac:dyDescent="0.3">
      <c r="A445" s="36"/>
      <c r="B445" s="36"/>
      <c r="C445" s="36" t="s">
        <v>114</v>
      </c>
      <c r="D445" s="36"/>
      <c r="E445" s="37" t="s">
        <v>115</v>
      </c>
      <c r="F445" s="131">
        <f>F446+F453</f>
        <v>72008.100000000006</v>
      </c>
      <c r="G445" s="131">
        <f>G446+G453+G459+G461</f>
        <v>4577.24</v>
      </c>
      <c r="H445" s="131">
        <f>H446+H453+H459+H461</f>
        <v>76585.340000000011</v>
      </c>
      <c r="I445" s="131"/>
      <c r="J445" s="131">
        <f>J446+J453+J459+J461</f>
        <v>76585.340000000011</v>
      </c>
      <c r="K445" s="131">
        <f>K446+K453+K451</f>
        <v>20838.36</v>
      </c>
      <c r="L445" s="131">
        <f>L446+L453+L451</f>
        <v>0</v>
      </c>
      <c r="M445" s="131">
        <f>M446+M453+M451</f>
        <v>20838.36</v>
      </c>
      <c r="N445" s="131">
        <f>N446+N453+N451</f>
        <v>4100</v>
      </c>
      <c r="O445" s="131">
        <f>O446+O453+O451</f>
        <v>0</v>
      </c>
      <c r="P445" s="131">
        <f>P446+P451+P453</f>
        <v>4100</v>
      </c>
    </row>
    <row r="446" spans="1:18" s="44" customFormat="1" ht="26.45" x14ac:dyDescent="0.3">
      <c r="A446" s="82"/>
      <c r="B446" s="82"/>
      <c r="C446" s="7" t="s">
        <v>116</v>
      </c>
      <c r="D446" s="7"/>
      <c r="E446" s="2" t="s">
        <v>117</v>
      </c>
      <c r="F446" s="130">
        <f>F448+F449+F450</f>
        <v>72008.100000000006</v>
      </c>
      <c r="G446" s="146">
        <f>G448+G449+G450</f>
        <v>3781.64</v>
      </c>
      <c r="H446" s="146">
        <f>H448+H449+H450</f>
        <v>75789.740000000005</v>
      </c>
      <c r="I446" s="146"/>
      <c r="J446" s="146">
        <f>J448+J449+J450</f>
        <v>75789.740000000005</v>
      </c>
      <c r="K446" s="146">
        <f>K448+K449+K450</f>
        <v>20838.36</v>
      </c>
      <c r="L446" s="146"/>
      <c r="M446" s="146">
        <f>M448+M449+M450</f>
        <v>20838.36</v>
      </c>
      <c r="N446" s="146">
        <v>0</v>
      </c>
      <c r="O446" s="146"/>
      <c r="P446" s="146">
        <v>0</v>
      </c>
    </row>
    <row r="447" spans="1:18" s="44" customFormat="1" ht="27" x14ac:dyDescent="0.3">
      <c r="A447" s="82"/>
      <c r="B447" s="82"/>
      <c r="C447" s="7"/>
      <c r="D447" s="7" t="s">
        <v>362</v>
      </c>
      <c r="E447" s="3" t="s">
        <v>363</v>
      </c>
      <c r="F447" s="130">
        <v>72008.100000000006</v>
      </c>
      <c r="G447" s="146">
        <f>G448+G449+G450</f>
        <v>3781.64</v>
      </c>
      <c r="H447" s="146">
        <f>H448+H449+H450</f>
        <v>75789.740000000005</v>
      </c>
      <c r="I447" s="146"/>
      <c r="J447" s="146">
        <f>J448+J449+J450</f>
        <v>75789.740000000005</v>
      </c>
      <c r="K447" s="146">
        <f>K449+K450</f>
        <v>20838.36</v>
      </c>
      <c r="L447" s="146"/>
      <c r="M447" s="146">
        <f>10359.5+M450</f>
        <v>20838.36</v>
      </c>
      <c r="N447" s="146">
        <v>0</v>
      </c>
      <c r="O447" s="146"/>
      <c r="P447" s="146">
        <v>0</v>
      </c>
    </row>
    <row r="448" spans="1:18" ht="14.45" x14ac:dyDescent="0.3">
      <c r="A448" s="81"/>
      <c r="B448" s="81"/>
      <c r="C448" s="7"/>
      <c r="D448" s="7"/>
      <c r="E448" s="3" t="s">
        <v>118</v>
      </c>
      <c r="F448" s="130">
        <v>50000</v>
      </c>
      <c r="G448" s="146"/>
      <c r="H448" s="146">
        <v>50000</v>
      </c>
      <c r="I448" s="146"/>
      <c r="J448" s="146">
        <v>50000</v>
      </c>
      <c r="K448" s="146">
        <v>0</v>
      </c>
      <c r="L448" s="146"/>
      <c r="M448" s="146">
        <f>SUM(L448)</f>
        <v>0</v>
      </c>
      <c r="N448" s="146">
        <v>0</v>
      </c>
      <c r="O448" s="146"/>
      <c r="P448" s="146">
        <v>0</v>
      </c>
    </row>
    <row r="449" spans="1:16" ht="14.45" x14ac:dyDescent="0.3">
      <c r="A449" s="81"/>
      <c r="B449" s="81"/>
      <c r="C449" s="7"/>
      <c r="D449" s="7"/>
      <c r="E449" s="3" t="s">
        <v>119</v>
      </c>
      <c r="F449" s="130">
        <v>8338.9</v>
      </c>
      <c r="G449" s="146"/>
      <c r="H449" s="146">
        <v>8338.9</v>
      </c>
      <c r="I449" s="146"/>
      <c r="J449" s="146">
        <v>8338.9</v>
      </c>
      <c r="K449" s="146">
        <v>10359.5</v>
      </c>
      <c r="L449" s="146"/>
      <c r="M449" s="146">
        <v>10359.5</v>
      </c>
      <c r="N449" s="146">
        <v>0</v>
      </c>
      <c r="O449" s="146"/>
      <c r="P449" s="146">
        <v>0</v>
      </c>
    </row>
    <row r="450" spans="1:16" ht="14.45" x14ac:dyDescent="0.3">
      <c r="A450" s="81"/>
      <c r="B450" s="81"/>
      <c r="C450" s="7"/>
      <c r="D450" s="7"/>
      <c r="E450" s="3" t="s">
        <v>120</v>
      </c>
      <c r="F450" s="130">
        <v>13669.2</v>
      </c>
      <c r="G450" s="146">
        <v>3781.64</v>
      </c>
      <c r="H450" s="146">
        <f>SUM(F450:G450)</f>
        <v>17450.84</v>
      </c>
      <c r="I450" s="146"/>
      <c r="J450" s="146">
        <f>SUM(H450:I450)</f>
        <v>17450.84</v>
      </c>
      <c r="K450" s="146">
        <v>10478.86</v>
      </c>
      <c r="L450" s="146"/>
      <c r="M450" s="146">
        <v>10478.86</v>
      </c>
      <c r="N450" s="146">
        <v>0</v>
      </c>
      <c r="O450" s="146"/>
      <c r="P450" s="146">
        <v>0</v>
      </c>
    </row>
    <row r="451" spans="1:16" ht="26.45" x14ac:dyDescent="0.3">
      <c r="A451" s="81"/>
      <c r="B451" s="81"/>
      <c r="C451" s="7" t="s">
        <v>548</v>
      </c>
      <c r="D451" s="7"/>
      <c r="E451" s="77" t="s">
        <v>549</v>
      </c>
      <c r="F451" s="130">
        <v>0</v>
      </c>
      <c r="G451" s="146"/>
      <c r="H451" s="146">
        <v>0</v>
      </c>
      <c r="I451" s="146"/>
      <c r="J451" s="146">
        <v>0</v>
      </c>
      <c r="K451" s="146">
        <v>0</v>
      </c>
      <c r="L451" s="146"/>
      <c r="M451" s="146">
        <f>M452</f>
        <v>0</v>
      </c>
      <c r="N451" s="146">
        <v>4100</v>
      </c>
      <c r="O451" s="146"/>
      <c r="P451" s="146">
        <f>P452</f>
        <v>4100</v>
      </c>
    </row>
    <row r="452" spans="1:16" ht="27" x14ac:dyDescent="0.3">
      <c r="A452" s="81"/>
      <c r="B452" s="81"/>
      <c r="C452" s="7"/>
      <c r="D452" s="7" t="s">
        <v>336</v>
      </c>
      <c r="E452" s="3" t="s">
        <v>337</v>
      </c>
      <c r="F452" s="130">
        <v>0</v>
      </c>
      <c r="G452" s="146"/>
      <c r="H452" s="146">
        <v>0</v>
      </c>
      <c r="I452" s="146"/>
      <c r="J452" s="146">
        <v>0</v>
      </c>
      <c r="K452" s="146">
        <v>0</v>
      </c>
      <c r="L452" s="130"/>
      <c r="M452" s="146">
        <f>4100-4100</f>
        <v>0</v>
      </c>
      <c r="N452" s="146">
        <v>4100</v>
      </c>
      <c r="O452" s="130"/>
      <c r="P452" s="146">
        <v>4100</v>
      </c>
    </row>
    <row r="453" spans="1:16" s="44" customFormat="1" ht="26.45" x14ac:dyDescent="0.3">
      <c r="A453" s="82"/>
      <c r="B453" s="82"/>
      <c r="C453" s="7" t="s">
        <v>550</v>
      </c>
      <c r="D453" s="7"/>
      <c r="E453" s="2" t="s">
        <v>121</v>
      </c>
      <c r="F453" s="130">
        <v>0</v>
      </c>
      <c r="G453" s="146"/>
      <c r="H453" s="146">
        <v>0</v>
      </c>
      <c r="I453" s="146"/>
      <c r="J453" s="146">
        <v>0</v>
      </c>
      <c r="K453" s="146">
        <v>0</v>
      </c>
      <c r="L453" s="146"/>
      <c r="M453" s="146">
        <v>0</v>
      </c>
      <c r="N453" s="146">
        <f>N455+N456</f>
        <v>0</v>
      </c>
      <c r="O453" s="146"/>
      <c r="P453" s="146">
        <f>P455+P456</f>
        <v>0</v>
      </c>
    </row>
    <row r="454" spans="1:16" s="44" customFormat="1" ht="27" x14ac:dyDescent="0.3">
      <c r="A454" s="82"/>
      <c r="B454" s="82"/>
      <c r="C454" s="7"/>
      <c r="D454" s="7" t="s">
        <v>362</v>
      </c>
      <c r="E454" s="3" t="s">
        <v>363</v>
      </c>
      <c r="F454" s="130">
        <v>0</v>
      </c>
      <c r="G454" s="146"/>
      <c r="H454" s="146">
        <v>0</v>
      </c>
      <c r="I454" s="146"/>
      <c r="J454" s="146">
        <v>0</v>
      </c>
      <c r="K454" s="146">
        <v>0</v>
      </c>
      <c r="L454" s="146"/>
      <c r="M454" s="146">
        <v>0</v>
      </c>
      <c r="N454" s="146">
        <v>0</v>
      </c>
      <c r="O454" s="146"/>
      <c r="P454" s="146">
        <v>0</v>
      </c>
    </row>
    <row r="455" spans="1:16" ht="14.45" x14ac:dyDescent="0.3">
      <c r="A455" s="81"/>
      <c r="B455" s="81"/>
      <c r="C455" s="7"/>
      <c r="D455" s="7"/>
      <c r="E455" s="3" t="s">
        <v>183</v>
      </c>
      <c r="F455" s="130">
        <v>0</v>
      </c>
      <c r="G455" s="146"/>
      <c r="H455" s="130">
        <v>0</v>
      </c>
      <c r="I455" s="130"/>
      <c r="J455" s="130">
        <v>0</v>
      </c>
      <c r="K455" s="130">
        <v>0</v>
      </c>
      <c r="L455" s="130"/>
      <c r="M455" s="130">
        <v>0</v>
      </c>
      <c r="N455" s="130">
        <v>0</v>
      </c>
      <c r="O455" s="130"/>
      <c r="P455" s="130">
        <v>0</v>
      </c>
    </row>
    <row r="456" spans="1:16" ht="14.45" x14ac:dyDescent="0.3">
      <c r="A456" s="81"/>
      <c r="B456" s="81"/>
      <c r="C456" s="7"/>
      <c r="D456" s="7"/>
      <c r="E456" s="3" t="s">
        <v>120</v>
      </c>
      <c r="F456" s="130">
        <v>0</v>
      </c>
      <c r="G456" s="146"/>
      <c r="H456" s="130">
        <v>0</v>
      </c>
      <c r="I456" s="130"/>
      <c r="J456" s="130">
        <v>0</v>
      </c>
      <c r="K456" s="130">
        <v>0</v>
      </c>
      <c r="L456" s="130"/>
      <c r="M456" s="130">
        <v>0</v>
      </c>
      <c r="N456" s="130">
        <v>0</v>
      </c>
      <c r="O456" s="130"/>
      <c r="P456" s="130">
        <v>0</v>
      </c>
    </row>
    <row r="457" spans="1:16" ht="14.45" x14ac:dyDescent="0.3">
      <c r="A457" s="196"/>
      <c r="B457" s="196"/>
      <c r="C457" s="194" t="s">
        <v>620</v>
      </c>
      <c r="D457" s="194"/>
      <c r="E457" s="195" t="s">
        <v>621</v>
      </c>
      <c r="F457" s="192"/>
      <c r="G457" s="192"/>
      <c r="H457" s="192">
        <f>H458</f>
        <v>795.6</v>
      </c>
      <c r="I457" s="192"/>
      <c r="J457" s="192">
        <f t="shared" ref="J457:P457" si="95">J458</f>
        <v>795.6</v>
      </c>
      <c r="K457" s="192">
        <f t="shared" si="95"/>
        <v>0</v>
      </c>
      <c r="L457" s="192"/>
      <c r="M457" s="192">
        <f t="shared" si="95"/>
        <v>0</v>
      </c>
      <c r="N457" s="192">
        <f t="shared" si="95"/>
        <v>0</v>
      </c>
      <c r="O457" s="192"/>
      <c r="P457" s="192">
        <f t="shared" si="95"/>
        <v>0</v>
      </c>
    </row>
    <row r="458" spans="1:16" ht="39.6" x14ac:dyDescent="0.3">
      <c r="A458" s="128"/>
      <c r="B458" s="128"/>
      <c r="C458" s="182" t="s">
        <v>509</v>
      </c>
      <c r="D458" s="183"/>
      <c r="E458" s="184" t="s">
        <v>662</v>
      </c>
      <c r="F458" s="153">
        <f>F459</f>
        <v>0</v>
      </c>
      <c r="G458" s="153"/>
      <c r="H458" s="153">
        <f>H459+H461</f>
        <v>795.6</v>
      </c>
      <c r="I458" s="153"/>
      <c r="J458" s="153">
        <f t="shared" ref="J458:P458" si="96">J459+J461</f>
        <v>795.6</v>
      </c>
      <c r="K458" s="153">
        <f t="shared" si="96"/>
        <v>0</v>
      </c>
      <c r="L458" s="153"/>
      <c r="M458" s="153">
        <f t="shared" si="96"/>
        <v>0</v>
      </c>
      <c r="N458" s="153">
        <f t="shared" si="96"/>
        <v>0</v>
      </c>
      <c r="O458" s="153"/>
      <c r="P458" s="153">
        <f t="shared" si="96"/>
        <v>0</v>
      </c>
    </row>
    <row r="459" spans="1:16" ht="38.25" x14ac:dyDescent="0.25">
      <c r="A459" s="81"/>
      <c r="B459" s="81"/>
      <c r="C459" s="24" t="s">
        <v>540</v>
      </c>
      <c r="D459" s="17"/>
      <c r="E459" s="1" t="s">
        <v>541</v>
      </c>
      <c r="F459" s="130"/>
      <c r="G459" s="146">
        <v>590</v>
      </c>
      <c r="H459" s="130">
        <v>590</v>
      </c>
      <c r="I459" s="130"/>
      <c r="J459" s="130">
        <v>590</v>
      </c>
      <c r="K459" s="130"/>
      <c r="L459" s="130"/>
      <c r="M459" s="130">
        <v>0</v>
      </c>
      <c r="N459" s="130"/>
      <c r="O459" s="130"/>
      <c r="P459" s="130">
        <v>0</v>
      </c>
    </row>
    <row r="460" spans="1:16" ht="25.5" x14ac:dyDescent="0.25">
      <c r="A460" s="81"/>
      <c r="B460" s="81"/>
      <c r="C460" s="18"/>
      <c r="D460" s="17" t="s">
        <v>336</v>
      </c>
      <c r="E460" s="1" t="s">
        <v>337</v>
      </c>
      <c r="F460" s="130"/>
      <c r="G460" s="146">
        <v>590</v>
      </c>
      <c r="H460" s="130">
        <v>590</v>
      </c>
      <c r="I460" s="130"/>
      <c r="J460" s="130">
        <v>590</v>
      </c>
      <c r="K460" s="130"/>
      <c r="L460" s="130"/>
      <c r="M460" s="130">
        <v>0</v>
      </c>
      <c r="N460" s="130"/>
      <c r="O460" s="130"/>
      <c r="P460" s="130">
        <v>0</v>
      </c>
    </row>
    <row r="461" spans="1:16" ht="38.25" x14ac:dyDescent="0.25">
      <c r="A461" s="81"/>
      <c r="B461" s="81"/>
      <c r="C461" s="24" t="s">
        <v>775</v>
      </c>
      <c r="D461" s="17"/>
      <c r="E461" s="1" t="s">
        <v>777</v>
      </c>
      <c r="F461" s="130"/>
      <c r="G461" s="146">
        <v>205.6</v>
      </c>
      <c r="H461" s="130">
        <v>205.6</v>
      </c>
      <c r="I461" s="130"/>
      <c r="J461" s="130">
        <v>205.6</v>
      </c>
      <c r="K461" s="130"/>
      <c r="L461" s="130"/>
      <c r="M461" s="130">
        <v>0</v>
      </c>
      <c r="N461" s="130"/>
      <c r="O461" s="130"/>
      <c r="P461" s="130">
        <v>0</v>
      </c>
    </row>
    <row r="462" spans="1:16" ht="25.5" x14ac:dyDescent="0.25">
      <c r="A462" s="81"/>
      <c r="B462" s="81"/>
      <c r="C462" s="18"/>
      <c r="D462" s="17" t="s">
        <v>336</v>
      </c>
      <c r="E462" s="1" t="s">
        <v>337</v>
      </c>
      <c r="F462" s="130"/>
      <c r="G462" s="146">
        <v>205.6</v>
      </c>
      <c r="H462" s="130">
        <v>205.6</v>
      </c>
      <c r="I462" s="130"/>
      <c r="J462" s="130">
        <v>205.6</v>
      </c>
      <c r="K462" s="130"/>
      <c r="L462" s="130"/>
      <c r="M462" s="130">
        <v>0</v>
      </c>
      <c r="N462" s="130"/>
      <c r="O462" s="130"/>
      <c r="P462" s="130">
        <v>0</v>
      </c>
    </row>
    <row r="463" spans="1:16" ht="14.45" x14ac:dyDescent="0.3">
      <c r="A463" s="166"/>
      <c r="B463" s="56" t="s">
        <v>694</v>
      </c>
      <c r="C463" s="56"/>
      <c r="D463" s="19"/>
      <c r="E463" s="167" t="s">
        <v>695</v>
      </c>
      <c r="F463" s="156">
        <f t="shared" ref="F463:P467" si="97">F464</f>
        <v>0</v>
      </c>
      <c r="G463" s="156">
        <f t="shared" si="97"/>
        <v>0</v>
      </c>
      <c r="H463" s="156">
        <f t="shared" si="97"/>
        <v>0</v>
      </c>
      <c r="I463" s="156"/>
      <c r="J463" s="156">
        <f t="shared" si="97"/>
        <v>0</v>
      </c>
      <c r="K463" s="156">
        <f t="shared" si="97"/>
        <v>5000</v>
      </c>
      <c r="L463" s="156"/>
      <c r="M463" s="156">
        <f t="shared" si="97"/>
        <v>5000</v>
      </c>
      <c r="N463" s="156">
        <f t="shared" si="97"/>
        <v>0</v>
      </c>
      <c r="O463" s="156"/>
      <c r="P463" s="156">
        <f t="shared" si="97"/>
        <v>0</v>
      </c>
    </row>
    <row r="464" spans="1:16" ht="14.45" x14ac:dyDescent="0.3">
      <c r="A464" s="166"/>
      <c r="B464" s="56" t="s">
        <v>694</v>
      </c>
      <c r="C464" s="56"/>
      <c r="D464" s="19"/>
      <c r="E464" s="167" t="s">
        <v>697</v>
      </c>
      <c r="F464" s="156">
        <f t="shared" si="97"/>
        <v>0</v>
      </c>
      <c r="G464" s="156">
        <f t="shared" si="97"/>
        <v>0</v>
      </c>
      <c r="H464" s="156">
        <f t="shared" si="97"/>
        <v>0</v>
      </c>
      <c r="I464" s="156"/>
      <c r="J464" s="156">
        <f t="shared" si="97"/>
        <v>0</v>
      </c>
      <c r="K464" s="156">
        <f t="shared" si="97"/>
        <v>5000</v>
      </c>
      <c r="L464" s="156"/>
      <c r="M464" s="156">
        <f t="shared" si="97"/>
        <v>5000</v>
      </c>
      <c r="N464" s="156">
        <f t="shared" si="97"/>
        <v>0</v>
      </c>
      <c r="O464" s="156"/>
      <c r="P464" s="156">
        <f t="shared" si="97"/>
        <v>0</v>
      </c>
    </row>
    <row r="465" spans="1:16" ht="26.45" x14ac:dyDescent="0.3">
      <c r="A465" s="85"/>
      <c r="B465" s="18"/>
      <c r="C465" s="86" t="s">
        <v>6</v>
      </c>
      <c r="D465" s="18"/>
      <c r="E465" s="90" t="s">
        <v>7</v>
      </c>
      <c r="F465" s="137">
        <f t="shared" si="97"/>
        <v>0</v>
      </c>
      <c r="G465" s="137">
        <f t="shared" si="97"/>
        <v>0</v>
      </c>
      <c r="H465" s="137">
        <f t="shared" si="97"/>
        <v>0</v>
      </c>
      <c r="I465" s="137"/>
      <c r="J465" s="137">
        <f t="shared" si="97"/>
        <v>0</v>
      </c>
      <c r="K465" s="137">
        <f t="shared" si="97"/>
        <v>5000</v>
      </c>
      <c r="L465" s="137"/>
      <c r="M465" s="137">
        <f t="shared" si="97"/>
        <v>5000</v>
      </c>
      <c r="N465" s="137">
        <f t="shared" si="97"/>
        <v>0</v>
      </c>
      <c r="O465" s="137"/>
      <c r="P465" s="137">
        <f t="shared" si="97"/>
        <v>0</v>
      </c>
    </row>
    <row r="466" spans="1:16" ht="39.6" x14ac:dyDescent="0.3">
      <c r="A466" s="93"/>
      <c r="B466" s="94"/>
      <c r="C466" s="95" t="s">
        <v>791</v>
      </c>
      <c r="D466" s="94"/>
      <c r="E466" s="96" t="s">
        <v>792</v>
      </c>
      <c r="F466" s="138">
        <f t="shared" si="97"/>
        <v>0</v>
      </c>
      <c r="G466" s="138">
        <f t="shared" si="97"/>
        <v>0</v>
      </c>
      <c r="H466" s="138">
        <f t="shared" si="97"/>
        <v>0</v>
      </c>
      <c r="I466" s="138"/>
      <c r="J466" s="138">
        <f t="shared" si="97"/>
        <v>0</v>
      </c>
      <c r="K466" s="138">
        <f t="shared" si="97"/>
        <v>5000</v>
      </c>
      <c r="L466" s="138"/>
      <c r="M466" s="138">
        <f t="shared" si="97"/>
        <v>5000</v>
      </c>
      <c r="N466" s="138">
        <f t="shared" si="97"/>
        <v>0</v>
      </c>
      <c r="O466" s="138"/>
      <c r="P466" s="138">
        <f t="shared" si="97"/>
        <v>0</v>
      </c>
    </row>
    <row r="467" spans="1:16" ht="27" x14ac:dyDescent="0.3">
      <c r="A467" s="34"/>
      <c r="B467" s="34"/>
      <c r="C467" s="34" t="s">
        <v>793</v>
      </c>
      <c r="D467" s="34"/>
      <c r="E467" s="60" t="s">
        <v>254</v>
      </c>
      <c r="F467" s="139">
        <f t="shared" si="97"/>
        <v>0</v>
      </c>
      <c r="G467" s="139">
        <f t="shared" si="97"/>
        <v>0</v>
      </c>
      <c r="H467" s="139">
        <f t="shared" si="97"/>
        <v>0</v>
      </c>
      <c r="I467" s="139"/>
      <c r="J467" s="139">
        <f t="shared" si="97"/>
        <v>0</v>
      </c>
      <c r="K467" s="139">
        <f t="shared" si="97"/>
        <v>5000</v>
      </c>
      <c r="L467" s="139"/>
      <c r="M467" s="139">
        <f t="shared" si="97"/>
        <v>5000</v>
      </c>
      <c r="N467" s="139">
        <f t="shared" si="97"/>
        <v>0</v>
      </c>
      <c r="O467" s="139"/>
      <c r="P467" s="139">
        <f t="shared" si="97"/>
        <v>0</v>
      </c>
    </row>
    <row r="468" spans="1:16" ht="53.45" x14ac:dyDescent="0.3">
      <c r="A468" s="36"/>
      <c r="B468" s="36"/>
      <c r="C468" s="36" t="s">
        <v>794</v>
      </c>
      <c r="D468" s="36"/>
      <c r="E468" s="37" t="s">
        <v>279</v>
      </c>
      <c r="F468" s="131">
        <f>F470</f>
        <v>0</v>
      </c>
      <c r="G468" s="131">
        <f>G470</f>
        <v>0</v>
      </c>
      <c r="H468" s="131">
        <f>H470</f>
        <v>0</v>
      </c>
      <c r="I468" s="131"/>
      <c r="J468" s="131">
        <f>J470</f>
        <v>0</v>
      </c>
      <c r="K468" s="131">
        <f>K470</f>
        <v>5000</v>
      </c>
      <c r="L468" s="131"/>
      <c r="M468" s="131">
        <f>M470</f>
        <v>5000</v>
      </c>
      <c r="N468" s="131">
        <f>N470</f>
        <v>0</v>
      </c>
      <c r="O468" s="131"/>
      <c r="P468" s="131">
        <f>P470</f>
        <v>0</v>
      </c>
    </row>
    <row r="469" spans="1:16" s="44" customFormat="1" ht="26.45" x14ac:dyDescent="0.3">
      <c r="A469" s="13"/>
      <c r="B469" s="13"/>
      <c r="C469" s="80" t="s">
        <v>795</v>
      </c>
      <c r="D469" s="1"/>
      <c r="E469" s="1" t="s">
        <v>796</v>
      </c>
      <c r="F469" s="137"/>
      <c r="G469" s="137"/>
      <c r="H469" s="137"/>
      <c r="I469" s="137"/>
      <c r="J469" s="137"/>
      <c r="K469" s="130">
        <v>5000</v>
      </c>
      <c r="L469" s="130"/>
      <c r="M469" s="130">
        <v>5000</v>
      </c>
      <c r="N469" s="137"/>
      <c r="O469" s="137"/>
      <c r="P469" s="137"/>
    </row>
    <row r="470" spans="1:16" ht="27" x14ac:dyDescent="0.3">
      <c r="A470" s="66"/>
      <c r="B470" s="66"/>
      <c r="C470" s="13"/>
      <c r="D470" s="66"/>
      <c r="E470" s="14" t="s">
        <v>790</v>
      </c>
      <c r="F470" s="146">
        <f>F471</f>
        <v>0</v>
      </c>
      <c r="G470" s="146">
        <f>G471</f>
        <v>0</v>
      </c>
      <c r="H470" s="146">
        <f>H471</f>
        <v>0</v>
      </c>
      <c r="I470" s="146"/>
      <c r="J470" s="146">
        <f>J471</f>
        <v>0</v>
      </c>
      <c r="K470" s="146">
        <f>K471</f>
        <v>5000</v>
      </c>
      <c r="L470" s="146"/>
      <c r="M470" s="146">
        <f>M471</f>
        <v>5000</v>
      </c>
      <c r="N470" s="146">
        <v>0</v>
      </c>
      <c r="O470" s="146"/>
      <c r="P470" s="146">
        <v>0</v>
      </c>
    </row>
    <row r="471" spans="1:16" ht="27" x14ac:dyDescent="0.3">
      <c r="A471" s="66"/>
      <c r="B471" s="66"/>
      <c r="C471" s="66"/>
      <c r="D471" s="24" t="s">
        <v>362</v>
      </c>
      <c r="E471" s="3" t="s">
        <v>363</v>
      </c>
      <c r="F471" s="146">
        <v>0</v>
      </c>
      <c r="G471" s="146"/>
      <c r="H471" s="146">
        <v>0</v>
      </c>
      <c r="I471" s="146"/>
      <c r="J471" s="146">
        <v>0</v>
      </c>
      <c r="K471" s="146">
        <v>5000</v>
      </c>
      <c r="L471" s="146"/>
      <c r="M471" s="146">
        <v>5000</v>
      </c>
      <c r="N471" s="146">
        <v>0</v>
      </c>
      <c r="O471" s="146"/>
      <c r="P471" s="146">
        <v>0</v>
      </c>
    </row>
    <row r="472" spans="1:16" x14ac:dyDescent="0.25">
      <c r="A472" s="7"/>
      <c r="B472" s="168" t="s">
        <v>805</v>
      </c>
      <c r="C472" s="168"/>
      <c r="D472" s="168"/>
      <c r="E472" s="169" t="s">
        <v>806</v>
      </c>
      <c r="F472" s="130"/>
      <c r="G472" s="130"/>
      <c r="H472" s="137">
        <f t="shared" ref="H472:J474" si="98">H473</f>
        <v>120.3</v>
      </c>
      <c r="I472" s="137">
        <f t="shared" si="98"/>
        <v>27.7</v>
      </c>
      <c r="J472" s="137">
        <f t="shared" si="98"/>
        <v>148</v>
      </c>
      <c r="K472" s="130"/>
      <c r="L472" s="130"/>
      <c r="M472" s="130">
        <v>0</v>
      </c>
      <c r="N472" s="130"/>
      <c r="O472" s="130"/>
      <c r="P472" s="130">
        <v>0</v>
      </c>
    </row>
    <row r="473" spans="1:16" x14ac:dyDescent="0.25">
      <c r="A473" s="7"/>
      <c r="B473" s="168" t="s">
        <v>807</v>
      </c>
      <c r="C473" s="168"/>
      <c r="D473" s="168"/>
      <c r="E473" s="170" t="s">
        <v>808</v>
      </c>
      <c r="F473" s="130"/>
      <c r="G473" s="130"/>
      <c r="H473" s="137">
        <f t="shared" si="98"/>
        <v>120.3</v>
      </c>
      <c r="I473" s="137">
        <f t="shared" si="98"/>
        <v>27.7</v>
      </c>
      <c r="J473" s="137">
        <f t="shared" si="98"/>
        <v>148</v>
      </c>
      <c r="K473" s="130"/>
      <c r="L473" s="130"/>
      <c r="M473" s="130">
        <v>0</v>
      </c>
      <c r="N473" s="130"/>
      <c r="O473" s="130"/>
      <c r="P473" s="130">
        <v>0</v>
      </c>
    </row>
    <row r="474" spans="1:16" x14ac:dyDescent="0.25">
      <c r="A474" s="199"/>
      <c r="B474" s="201"/>
      <c r="C474" s="201" t="s">
        <v>620</v>
      </c>
      <c r="D474" s="201"/>
      <c r="E474" s="202" t="s">
        <v>809</v>
      </c>
      <c r="F474" s="200"/>
      <c r="G474" s="200"/>
      <c r="H474" s="192">
        <f t="shared" si="98"/>
        <v>120.3</v>
      </c>
      <c r="I474" s="192">
        <f t="shared" si="98"/>
        <v>27.7</v>
      </c>
      <c r="J474" s="192">
        <f t="shared" si="98"/>
        <v>148</v>
      </c>
      <c r="K474" s="200"/>
      <c r="L474" s="200"/>
      <c r="M474" s="200">
        <v>0</v>
      </c>
      <c r="N474" s="200"/>
      <c r="O474" s="200"/>
      <c r="P474" s="200"/>
    </row>
    <row r="475" spans="1:16" ht="38.25" x14ac:dyDescent="0.25">
      <c r="A475" s="73"/>
      <c r="B475" s="186"/>
      <c r="C475" s="186" t="s">
        <v>509</v>
      </c>
      <c r="D475" s="186"/>
      <c r="E475" s="187" t="s">
        <v>662</v>
      </c>
      <c r="F475" s="188"/>
      <c r="G475" s="188"/>
      <c r="H475" s="153">
        <f>H476</f>
        <v>120.3</v>
      </c>
      <c r="I475" s="153">
        <f>I476</f>
        <v>27.7</v>
      </c>
      <c r="J475" s="153">
        <f>SUM(H475:I475)</f>
        <v>148</v>
      </c>
      <c r="K475" s="188"/>
      <c r="L475" s="188"/>
      <c r="M475" s="188">
        <v>0</v>
      </c>
      <c r="N475" s="188"/>
      <c r="O475" s="188"/>
      <c r="P475" s="188">
        <v>0</v>
      </c>
    </row>
    <row r="476" spans="1:16" ht="26.25" x14ac:dyDescent="0.25">
      <c r="A476" s="7"/>
      <c r="B476" s="7"/>
      <c r="C476" s="4" t="s">
        <v>810</v>
      </c>
      <c r="D476" s="4"/>
      <c r="E476" s="171" t="s">
        <v>811</v>
      </c>
      <c r="F476" s="130"/>
      <c r="G476" s="130"/>
      <c r="H476" s="130">
        <f>H477</f>
        <v>120.3</v>
      </c>
      <c r="I476" s="130">
        <f>I477</f>
        <v>27.7</v>
      </c>
      <c r="J476" s="130">
        <f>SUM(H476:I476)</f>
        <v>148</v>
      </c>
      <c r="K476" s="130"/>
      <c r="L476" s="130"/>
      <c r="M476" s="130">
        <v>0</v>
      </c>
      <c r="N476" s="130"/>
      <c r="O476" s="130"/>
      <c r="P476" s="130">
        <v>0</v>
      </c>
    </row>
    <row r="477" spans="1:16" ht="25.5" x14ac:dyDescent="0.25">
      <c r="A477" s="7"/>
      <c r="B477" s="7"/>
      <c r="C477" s="4"/>
      <c r="D477" s="4" t="s">
        <v>336</v>
      </c>
      <c r="E477" s="6" t="s">
        <v>812</v>
      </c>
      <c r="F477" s="130"/>
      <c r="G477" s="130"/>
      <c r="H477" s="130">
        <v>120.3</v>
      </c>
      <c r="I477" s="146">
        <v>27.7</v>
      </c>
      <c r="J477" s="130">
        <f>SUM(H477+I477)</f>
        <v>148</v>
      </c>
      <c r="K477" s="130"/>
      <c r="L477" s="130"/>
      <c r="M477" s="130">
        <v>0</v>
      </c>
      <c r="N477" s="130"/>
      <c r="O477" s="130"/>
      <c r="P477" s="130">
        <v>0</v>
      </c>
    </row>
    <row r="478" spans="1:16" ht="14.45" x14ac:dyDescent="0.3">
      <c r="A478" s="85"/>
      <c r="B478" s="18">
        <v>1000</v>
      </c>
      <c r="C478" s="86"/>
      <c r="D478" s="85"/>
      <c r="E478" s="87" t="s">
        <v>671</v>
      </c>
      <c r="F478" s="137">
        <f t="shared" ref="F478:O478" si="99">F479+F486+F504+F518</f>
        <v>23268.909999999996</v>
      </c>
      <c r="G478" s="137">
        <f t="shared" si="99"/>
        <v>-60.6</v>
      </c>
      <c r="H478" s="137">
        <f t="shared" si="99"/>
        <v>22663.583999999999</v>
      </c>
      <c r="I478" s="137">
        <f t="shared" si="99"/>
        <v>0</v>
      </c>
      <c r="J478" s="137">
        <f t="shared" si="99"/>
        <v>22663.583999999999</v>
      </c>
      <c r="K478" s="137">
        <f t="shared" si="99"/>
        <v>19442.241999999998</v>
      </c>
      <c r="L478" s="137">
        <f t="shared" si="99"/>
        <v>0</v>
      </c>
      <c r="M478" s="137">
        <f t="shared" si="99"/>
        <v>19442.241999999998</v>
      </c>
      <c r="N478" s="137">
        <f t="shared" si="99"/>
        <v>22279.684000000001</v>
      </c>
      <c r="O478" s="137">
        <f t="shared" si="99"/>
        <v>0</v>
      </c>
      <c r="P478" s="137">
        <f>P479+P486+P504+P518</f>
        <v>22279.684000000001</v>
      </c>
    </row>
    <row r="479" spans="1:16" ht="14.45" x14ac:dyDescent="0.3">
      <c r="A479" s="85"/>
      <c r="B479" s="18" t="s">
        <v>672</v>
      </c>
      <c r="C479" s="86"/>
      <c r="D479" s="85"/>
      <c r="E479" s="90" t="s">
        <v>673</v>
      </c>
      <c r="F479" s="137">
        <f>F480</f>
        <v>7533.3</v>
      </c>
      <c r="G479" s="137"/>
      <c r="H479" s="137">
        <f t="shared" ref="H479:J483" si="100">H480</f>
        <v>7298.9000000000005</v>
      </c>
      <c r="I479" s="137">
        <f t="shared" si="100"/>
        <v>0</v>
      </c>
      <c r="J479" s="137">
        <f t="shared" si="100"/>
        <v>7298.9000000000005</v>
      </c>
      <c r="K479" s="137">
        <f t="shared" ref="K479:P482" si="101">K480</f>
        <v>7221.7</v>
      </c>
      <c r="L479" s="137">
        <f t="shared" si="101"/>
        <v>0</v>
      </c>
      <c r="M479" s="137">
        <f t="shared" si="101"/>
        <v>7221.7</v>
      </c>
      <c r="N479" s="137">
        <f t="shared" si="101"/>
        <v>7221.7</v>
      </c>
      <c r="O479" s="137">
        <f t="shared" si="101"/>
        <v>0</v>
      </c>
      <c r="P479" s="137">
        <f t="shared" si="101"/>
        <v>7221.7</v>
      </c>
    </row>
    <row r="480" spans="1:16" ht="26.45" x14ac:dyDescent="0.3">
      <c r="A480" s="85"/>
      <c r="B480" s="18"/>
      <c r="C480" s="86" t="s">
        <v>6</v>
      </c>
      <c r="D480" s="18"/>
      <c r="E480" s="90" t="s">
        <v>7</v>
      </c>
      <c r="F480" s="137">
        <f>F481</f>
        <v>7533.3</v>
      </c>
      <c r="G480" s="137"/>
      <c r="H480" s="137">
        <f t="shared" si="100"/>
        <v>7298.9000000000005</v>
      </c>
      <c r="I480" s="137">
        <f t="shared" si="100"/>
        <v>0</v>
      </c>
      <c r="J480" s="137">
        <f t="shared" si="100"/>
        <v>7298.9000000000005</v>
      </c>
      <c r="K480" s="137">
        <f t="shared" si="101"/>
        <v>7221.7</v>
      </c>
      <c r="L480" s="137">
        <f t="shared" si="101"/>
        <v>0</v>
      </c>
      <c r="M480" s="137">
        <f t="shared" si="101"/>
        <v>7221.7</v>
      </c>
      <c r="N480" s="137">
        <f t="shared" si="101"/>
        <v>7221.7</v>
      </c>
      <c r="O480" s="137">
        <f t="shared" si="101"/>
        <v>0</v>
      </c>
      <c r="P480" s="137">
        <f t="shared" si="101"/>
        <v>7221.7</v>
      </c>
    </row>
    <row r="481" spans="1:16" ht="39.6" x14ac:dyDescent="0.3">
      <c r="A481" s="93"/>
      <c r="B481" s="94"/>
      <c r="C481" s="95" t="s">
        <v>8</v>
      </c>
      <c r="D481" s="94"/>
      <c r="E481" s="96" t="s">
        <v>9</v>
      </c>
      <c r="F481" s="138">
        <f>F482</f>
        <v>7533.3</v>
      </c>
      <c r="G481" s="138"/>
      <c r="H481" s="138">
        <f t="shared" si="100"/>
        <v>7298.9000000000005</v>
      </c>
      <c r="I481" s="138">
        <f t="shared" si="100"/>
        <v>0</v>
      </c>
      <c r="J481" s="138">
        <f t="shared" si="100"/>
        <v>7298.9000000000005</v>
      </c>
      <c r="K481" s="138">
        <f t="shared" si="101"/>
        <v>7221.7</v>
      </c>
      <c r="L481" s="138">
        <f t="shared" si="101"/>
        <v>0</v>
      </c>
      <c r="M481" s="138">
        <f t="shared" si="101"/>
        <v>7221.7</v>
      </c>
      <c r="N481" s="138">
        <f t="shared" si="101"/>
        <v>7221.7</v>
      </c>
      <c r="O481" s="138">
        <f t="shared" si="101"/>
        <v>0</v>
      </c>
      <c r="P481" s="138">
        <f t="shared" si="101"/>
        <v>7221.7</v>
      </c>
    </row>
    <row r="482" spans="1:16" ht="40.15" x14ac:dyDescent="0.3">
      <c r="A482" s="34"/>
      <c r="B482" s="34"/>
      <c r="C482" s="34" t="s">
        <v>25</v>
      </c>
      <c r="D482" s="34"/>
      <c r="E482" s="60" t="s">
        <v>26</v>
      </c>
      <c r="F482" s="139">
        <f>F483</f>
        <v>7533.3</v>
      </c>
      <c r="G482" s="139"/>
      <c r="H482" s="139">
        <f t="shared" si="100"/>
        <v>7298.9000000000005</v>
      </c>
      <c r="I482" s="139">
        <f t="shared" si="100"/>
        <v>0</v>
      </c>
      <c r="J482" s="139">
        <f t="shared" si="100"/>
        <v>7298.9000000000005</v>
      </c>
      <c r="K482" s="139">
        <f t="shared" ref="K482:L484" si="102">K483</f>
        <v>7221.7</v>
      </c>
      <c r="L482" s="139">
        <f t="shared" si="102"/>
        <v>0</v>
      </c>
      <c r="M482" s="139">
        <f t="shared" si="101"/>
        <v>7221.7</v>
      </c>
      <c r="N482" s="139">
        <f t="shared" si="101"/>
        <v>7221.7</v>
      </c>
      <c r="O482" s="139">
        <f t="shared" si="101"/>
        <v>0</v>
      </c>
      <c r="P482" s="139">
        <f>P483</f>
        <v>7221.7</v>
      </c>
    </row>
    <row r="483" spans="1:16" ht="40.15" x14ac:dyDescent="0.3">
      <c r="A483" s="36"/>
      <c r="B483" s="36"/>
      <c r="C483" s="36" t="s">
        <v>27</v>
      </c>
      <c r="D483" s="36"/>
      <c r="E483" s="37" t="s">
        <v>28</v>
      </c>
      <c r="F483" s="131">
        <f>F484</f>
        <v>7533.3</v>
      </c>
      <c r="G483" s="131"/>
      <c r="H483" s="131">
        <f t="shared" si="100"/>
        <v>7298.9000000000005</v>
      </c>
      <c r="I483" s="131">
        <f t="shared" si="100"/>
        <v>0</v>
      </c>
      <c r="J483" s="131">
        <f t="shared" si="100"/>
        <v>7298.9000000000005</v>
      </c>
      <c r="K483" s="131">
        <f t="shared" si="102"/>
        <v>7221.7</v>
      </c>
      <c r="L483" s="131">
        <f t="shared" si="102"/>
        <v>0</v>
      </c>
      <c r="M483" s="131">
        <f t="shared" ref="M483:O484" si="103">M484</f>
        <v>7221.7</v>
      </c>
      <c r="N483" s="131">
        <f t="shared" si="103"/>
        <v>7221.7</v>
      </c>
      <c r="O483" s="131">
        <f t="shared" si="103"/>
        <v>0</v>
      </c>
      <c r="P483" s="131">
        <f>P484</f>
        <v>7221.7</v>
      </c>
    </row>
    <row r="484" spans="1:16" ht="27" x14ac:dyDescent="0.3">
      <c r="A484" s="81"/>
      <c r="B484" s="81"/>
      <c r="C484" s="7" t="s">
        <v>33</v>
      </c>
      <c r="D484" s="7"/>
      <c r="E484" s="9" t="s">
        <v>34</v>
      </c>
      <c r="F484" s="130">
        <v>7533.3</v>
      </c>
      <c r="G484" s="130"/>
      <c r="H484" s="130">
        <f>H485</f>
        <v>7298.9000000000005</v>
      </c>
      <c r="I484" s="130">
        <f>I485</f>
        <v>0</v>
      </c>
      <c r="J484" s="130">
        <f>J485</f>
        <v>7298.9000000000005</v>
      </c>
      <c r="K484" s="130">
        <f t="shared" si="102"/>
        <v>7221.7</v>
      </c>
      <c r="L484" s="130">
        <f t="shared" si="102"/>
        <v>0</v>
      </c>
      <c r="M484" s="130">
        <f t="shared" si="103"/>
        <v>7221.7</v>
      </c>
      <c r="N484" s="130">
        <f t="shared" si="103"/>
        <v>7221.7</v>
      </c>
      <c r="O484" s="130">
        <f t="shared" si="103"/>
        <v>0</v>
      </c>
      <c r="P484" s="130">
        <f>P485</f>
        <v>7221.7</v>
      </c>
    </row>
    <row r="485" spans="1:16" ht="14.45" x14ac:dyDescent="0.3">
      <c r="A485" s="81"/>
      <c r="B485" s="81"/>
      <c r="C485" s="7"/>
      <c r="D485" s="7" t="s">
        <v>534</v>
      </c>
      <c r="E485" s="3" t="s">
        <v>535</v>
      </c>
      <c r="F485" s="130">
        <v>7533.3</v>
      </c>
      <c r="G485" s="130"/>
      <c r="H485" s="130">
        <v>7298.9000000000005</v>
      </c>
      <c r="I485" s="130"/>
      <c r="J485" s="130">
        <f>7533.3-234.4</f>
        <v>7298.9000000000005</v>
      </c>
      <c r="K485" s="130">
        <v>7221.7</v>
      </c>
      <c r="L485" s="130"/>
      <c r="M485" s="130">
        <f>7533.3-311.6</f>
        <v>7221.7</v>
      </c>
      <c r="N485" s="130">
        <v>7221.7</v>
      </c>
      <c r="O485" s="130"/>
      <c r="P485" s="130">
        <f>7533.3-311.6</f>
        <v>7221.7</v>
      </c>
    </row>
    <row r="486" spans="1:16" ht="14.45" x14ac:dyDescent="0.3">
      <c r="A486" s="85"/>
      <c r="B486" s="18" t="s">
        <v>674</v>
      </c>
      <c r="C486" s="86"/>
      <c r="D486" s="85"/>
      <c r="E486" s="87" t="s">
        <v>675</v>
      </c>
      <c r="F486" s="137">
        <f>F487</f>
        <v>2176.8000000000002</v>
      </c>
      <c r="G486" s="137">
        <f>G487</f>
        <v>0</v>
      </c>
      <c r="H486" s="137">
        <f>H487</f>
        <v>2176.8000000000002</v>
      </c>
      <c r="I486" s="137"/>
      <c r="J486" s="137">
        <f>J487</f>
        <v>2176.8000000000002</v>
      </c>
      <c r="K486" s="137">
        <f>K487</f>
        <v>1958.5</v>
      </c>
      <c r="L486" s="137"/>
      <c r="M486" s="137">
        <f>M487</f>
        <v>1958.5</v>
      </c>
      <c r="N486" s="137">
        <f>N487</f>
        <v>1789.3</v>
      </c>
      <c r="O486" s="137"/>
      <c r="P486" s="137">
        <f>P487</f>
        <v>1789.3</v>
      </c>
    </row>
    <row r="487" spans="1:16" ht="26.45" x14ac:dyDescent="0.3">
      <c r="A487" s="85"/>
      <c r="B487" s="18"/>
      <c r="C487" s="86" t="s">
        <v>6</v>
      </c>
      <c r="D487" s="18"/>
      <c r="E487" s="90" t="s">
        <v>7</v>
      </c>
      <c r="F487" s="137">
        <f>F488+F492+G496</f>
        <v>2176.8000000000002</v>
      </c>
      <c r="G487" s="137">
        <f>G488+G492+H496</f>
        <v>0</v>
      </c>
      <c r="H487" s="137">
        <f>H488+H492+H496</f>
        <v>2176.8000000000002</v>
      </c>
      <c r="I487" s="137"/>
      <c r="J487" s="137">
        <f>J488+J492+J496</f>
        <v>2176.8000000000002</v>
      </c>
      <c r="K487" s="137">
        <f>K488+K492+K496</f>
        <v>1958.5</v>
      </c>
      <c r="L487" s="137"/>
      <c r="M487" s="137">
        <f>M488+M492+M496</f>
        <v>1958.5</v>
      </c>
      <c r="N487" s="137">
        <f>N488+N492+N496</f>
        <v>1789.3</v>
      </c>
      <c r="O487" s="137"/>
      <c r="P487" s="137">
        <f>P488+P492+P496</f>
        <v>1789.3</v>
      </c>
    </row>
    <row r="488" spans="1:16" ht="39.6" x14ac:dyDescent="0.3">
      <c r="A488" s="93"/>
      <c r="B488" s="94"/>
      <c r="C488" s="95" t="s">
        <v>213</v>
      </c>
      <c r="D488" s="94"/>
      <c r="E488" s="96" t="s">
        <v>676</v>
      </c>
      <c r="F488" s="138">
        <f>F489</f>
        <v>1735</v>
      </c>
      <c r="G488" s="138"/>
      <c r="H488" s="138">
        <f t="shared" ref="H488:P489" si="104">H489</f>
        <v>1735</v>
      </c>
      <c r="I488" s="138"/>
      <c r="J488" s="138">
        <f t="shared" si="104"/>
        <v>1735</v>
      </c>
      <c r="K488" s="138">
        <f t="shared" si="104"/>
        <v>0</v>
      </c>
      <c r="L488" s="138"/>
      <c r="M488" s="138">
        <f t="shared" si="104"/>
        <v>0</v>
      </c>
      <c r="N488" s="138">
        <f t="shared" si="104"/>
        <v>0</v>
      </c>
      <c r="O488" s="138"/>
      <c r="P488" s="138">
        <f t="shared" si="104"/>
        <v>0</v>
      </c>
    </row>
    <row r="489" spans="1:16" ht="27" x14ac:dyDescent="0.3">
      <c r="A489" s="36"/>
      <c r="B489" s="36"/>
      <c r="C489" s="36" t="s">
        <v>223</v>
      </c>
      <c r="D489" s="36"/>
      <c r="E489" s="37" t="s">
        <v>224</v>
      </c>
      <c r="F489" s="131">
        <f>F490</f>
        <v>1735</v>
      </c>
      <c r="G489" s="131"/>
      <c r="H489" s="131">
        <f t="shared" si="104"/>
        <v>1735</v>
      </c>
      <c r="I489" s="131"/>
      <c r="J489" s="131">
        <f t="shared" si="104"/>
        <v>1735</v>
      </c>
      <c r="K489" s="131">
        <f t="shared" si="104"/>
        <v>0</v>
      </c>
      <c r="L489" s="131"/>
      <c r="M489" s="131">
        <f t="shared" si="104"/>
        <v>0</v>
      </c>
      <c r="N489" s="131">
        <f t="shared" si="104"/>
        <v>0</v>
      </c>
      <c r="O489" s="131"/>
      <c r="P489" s="131">
        <f t="shared" si="104"/>
        <v>0</v>
      </c>
    </row>
    <row r="490" spans="1:16" ht="40.15" x14ac:dyDescent="0.3">
      <c r="A490" s="81"/>
      <c r="B490" s="81"/>
      <c r="C490" s="7" t="s">
        <v>225</v>
      </c>
      <c r="D490" s="7"/>
      <c r="E490" s="3" t="s">
        <v>226</v>
      </c>
      <c r="F490" s="130">
        <v>1735</v>
      </c>
      <c r="G490" s="130"/>
      <c r="H490" s="130">
        <v>1735</v>
      </c>
      <c r="I490" s="130"/>
      <c r="J490" s="130">
        <v>1735</v>
      </c>
      <c r="K490" s="130">
        <v>0</v>
      </c>
      <c r="L490" s="130"/>
      <c r="M490" s="130">
        <v>0</v>
      </c>
      <c r="N490" s="130">
        <v>0</v>
      </c>
      <c r="O490" s="130"/>
      <c r="P490" s="130">
        <v>0</v>
      </c>
    </row>
    <row r="491" spans="1:16" ht="14.45" x14ac:dyDescent="0.3">
      <c r="A491" s="81"/>
      <c r="B491" s="81"/>
      <c r="C491" s="7"/>
      <c r="D491" s="7" t="s">
        <v>534</v>
      </c>
      <c r="E491" s="3" t="s">
        <v>535</v>
      </c>
      <c r="F491" s="130">
        <v>1735</v>
      </c>
      <c r="G491" s="130"/>
      <c r="H491" s="130">
        <v>1735</v>
      </c>
      <c r="I491" s="130"/>
      <c r="J491" s="130">
        <v>1735</v>
      </c>
      <c r="K491" s="130">
        <v>0</v>
      </c>
      <c r="L491" s="130"/>
      <c r="M491" s="130">
        <v>0</v>
      </c>
      <c r="N491" s="130">
        <v>0</v>
      </c>
      <c r="O491" s="130"/>
      <c r="P491" s="130">
        <v>0</v>
      </c>
    </row>
    <row r="492" spans="1:16" ht="39.6" x14ac:dyDescent="0.3">
      <c r="A492" s="93"/>
      <c r="B492" s="94"/>
      <c r="C492" s="95" t="s">
        <v>237</v>
      </c>
      <c r="D492" s="94"/>
      <c r="E492" s="96" t="s">
        <v>238</v>
      </c>
      <c r="F492" s="138">
        <f>F493</f>
        <v>441.8</v>
      </c>
      <c r="G492" s="138"/>
      <c r="H492" s="138">
        <f>H493</f>
        <v>441.8</v>
      </c>
      <c r="I492" s="138"/>
      <c r="J492" s="138">
        <f>J493</f>
        <v>441.8</v>
      </c>
      <c r="K492" s="138">
        <f t="shared" ref="K492:P494" si="105">K493</f>
        <v>0</v>
      </c>
      <c r="L492" s="138"/>
      <c r="M492" s="138">
        <f t="shared" si="105"/>
        <v>0</v>
      </c>
      <c r="N492" s="138">
        <f t="shared" si="105"/>
        <v>0</v>
      </c>
      <c r="O492" s="138"/>
      <c r="P492" s="138">
        <f t="shared" si="105"/>
        <v>0</v>
      </c>
    </row>
    <row r="493" spans="1:16" ht="27" x14ac:dyDescent="0.3">
      <c r="A493" s="36"/>
      <c r="B493" s="36"/>
      <c r="C493" s="36" t="s">
        <v>239</v>
      </c>
      <c r="D493" s="36"/>
      <c r="E493" s="37" t="s">
        <v>659</v>
      </c>
      <c r="F493" s="131">
        <f>F494</f>
        <v>441.8</v>
      </c>
      <c r="G493" s="131"/>
      <c r="H493" s="131">
        <f>H494</f>
        <v>441.8</v>
      </c>
      <c r="I493" s="131"/>
      <c r="J493" s="131">
        <f>J494</f>
        <v>441.8</v>
      </c>
      <c r="K493" s="131">
        <f t="shared" si="105"/>
        <v>0</v>
      </c>
      <c r="L493" s="131"/>
      <c r="M493" s="131">
        <f t="shared" si="105"/>
        <v>0</v>
      </c>
      <c r="N493" s="131">
        <f t="shared" si="105"/>
        <v>0</v>
      </c>
      <c r="O493" s="131"/>
      <c r="P493" s="131">
        <f t="shared" si="105"/>
        <v>0</v>
      </c>
    </row>
    <row r="494" spans="1:16" ht="27" x14ac:dyDescent="0.3">
      <c r="A494" s="81"/>
      <c r="B494" s="81"/>
      <c r="C494" s="7" t="s">
        <v>244</v>
      </c>
      <c r="D494" s="7"/>
      <c r="E494" s="14" t="s">
        <v>245</v>
      </c>
      <c r="F494" s="130">
        <f>F495</f>
        <v>441.8</v>
      </c>
      <c r="G494" s="130"/>
      <c r="H494" s="130">
        <f>H495</f>
        <v>441.8</v>
      </c>
      <c r="I494" s="130"/>
      <c r="J494" s="130">
        <f>J495</f>
        <v>441.8</v>
      </c>
      <c r="K494" s="130">
        <f t="shared" si="105"/>
        <v>0</v>
      </c>
      <c r="L494" s="130"/>
      <c r="M494" s="130">
        <f t="shared" si="105"/>
        <v>0</v>
      </c>
      <c r="N494" s="130">
        <f t="shared" si="105"/>
        <v>0</v>
      </c>
      <c r="O494" s="130"/>
      <c r="P494" s="130">
        <f t="shared" si="105"/>
        <v>0</v>
      </c>
    </row>
    <row r="495" spans="1:16" ht="14.45" x14ac:dyDescent="0.3">
      <c r="A495" s="81"/>
      <c r="B495" s="81"/>
      <c r="C495" s="7"/>
      <c r="D495" s="7" t="s">
        <v>534</v>
      </c>
      <c r="E495" s="3" t="s">
        <v>535</v>
      </c>
      <c r="F495" s="130">
        <v>441.8</v>
      </c>
      <c r="G495" s="130"/>
      <c r="H495" s="130">
        <v>441.8</v>
      </c>
      <c r="I495" s="130"/>
      <c r="J495" s="130">
        <v>441.8</v>
      </c>
      <c r="K495" s="130">
        <v>0</v>
      </c>
      <c r="L495" s="130"/>
      <c r="M495" s="130">
        <v>0</v>
      </c>
      <c r="N495" s="130">
        <v>0</v>
      </c>
      <c r="O495" s="130"/>
      <c r="P495" s="130">
        <v>0</v>
      </c>
    </row>
    <row r="496" spans="1:16" ht="26.45" x14ac:dyDescent="0.3">
      <c r="A496" s="93"/>
      <c r="B496" s="94"/>
      <c r="C496" s="95" t="s">
        <v>346</v>
      </c>
      <c r="D496" s="94"/>
      <c r="E496" s="96" t="s">
        <v>347</v>
      </c>
      <c r="F496" s="138">
        <f t="shared" ref="F496:P498" si="106">F497</f>
        <v>0</v>
      </c>
      <c r="G496" s="138">
        <f t="shared" si="106"/>
        <v>0</v>
      </c>
      <c r="H496" s="138">
        <f t="shared" si="106"/>
        <v>0</v>
      </c>
      <c r="I496" s="138"/>
      <c r="J496" s="138">
        <f t="shared" si="106"/>
        <v>0</v>
      </c>
      <c r="K496" s="138">
        <f t="shared" si="106"/>
        <v>1958.5</v>
      </c>
      <c r="L496" s="138"/>
      <c r="M496" s="138">
        <f t="shared" si="106"/>
        <v>1958.5</v>
      </c>
      <c r="N496" s="138">
        <f t="shared" si="106"/>
        <v>1789.3</v>
      </c>
      <c r="O496" s="138"/>
      <c r="P496" s="138">
        <f t="shared" si="106"/>
        <v>1789.3</v>
      </c>
    </row>
    <row r="497" spans="1:16" ht="14.45" x14ac:dyDescent="0.3">
      <c r="A497" s="34"/>
      <c r="B497" s="34"/>
      <c r="C497" s="34" t="s">
        <v>348</v>
      </c>
      <c r="D497" s="34"/>
      <c r="E497" s="60" t="s">
        <v>349</v>
      </c>
      <c r="F497" s="139">
        <f t="shared" si="106"/>
        <v>0</v>
      </c>
      <c r="G497" s="139">
        <f t="shared" si="106"/>
        <v>0</v>
      </c>
      <c r="H497" s="139">
        <f t="shared" si="106"/>
        <v>0</v>
      </c>
      <c r="I497" s="139"/>
      <c r="J497" s="139">
        <f t="shared" si="106"/>
        <v>0</v>
      </c>
      <c r="K497" s="139">
        <f t="shared" si="106"/>
        <v>1958.5</v>
      </c>
      <c r="L497" s="139"/>
      <c r="M497" s="139">
        <f t="shared" si="106"/>
        <v>1958.5</v>
      </c>
      <c r="N497" s="139">
        <f t="shared" si="106"/>
        <v>1789.3</v>
      </c>
      <c r="O497" s="139"/>
      <c r="P497" s="139">
        <f t="shared" si="106"/>
        <v>1789.3</v>
      </c>
    </row>
    <row r="498" spans="1:16" ht="49.5" customHeight="1" x14ac:dyDescent="0.3">
      <c r="A498" s="36"/>
      <c r="B498" s="36"/>
      <c r="C498" s="36" t="s">
        <v>350</v>
      </c>
      <c r="D498" s="36"/>
      <c r="E498" s="22" t="s">
        <v>351</v>
      </c>
      <c r="F498" s="131">
        <f t="shared" si="106"/>
        <v>0</v>
      </c>
      <c r="G498" s="150">
        <f t="shared" si="106"/>
        <v>0</v>
      </c>
      <c r="H498" s="150">
        <f t="shared" si="106"/>
        <v>0</v>
      </c>
      <c r="I498" s="150"/>
      <c r="J498" s="150">
        <f t="shared" si="106"/>
        <v>0</v>
      </c>
      <c r="K498" s="131">
        <f t="shared" si="106"/>
        <v>1958.5</v>
      </c>
      <c r="L498" s="131"/>
      <c r="M498" s="131">
        <f t="shared" si="106"/>
        <v>1958.5</v>
      </c>
      <c r="N498" s="131">
        <f t="shared" si="106"/>
        <v>1789.3</v>
      </c>
      <c r="O498" s="131"/>
      <c r="P498" s="131">
        <f t="shared" si="106"/>
        <v>1789.3</v>
      </c>
    </row>
    <row r="499" spans="1:16" ht="40.15" x14ac:dyDescent="0.3">
      <c r="A499" s="81"/>
      <c r="B499" s="81"/>
      <c r="C499" s="24" t="s">
        <v>353</v>
      </c>
      <c r="D499" s="13"/>
      <c r="E499" s="62" t="s">
        <v>786</v>
      </c>
      <c r="F499" s="141">
        <v>0</v>
      </c>
      <c r="G499" s="130">
        <f>G500</f>
        <v>0</v>
      </c>
      <c r="H499" s="130">
        <f>H500</f>
        <v>0</v>
      </c>
      <c r="I499" s="130"/>
      <c r="J499" s="130">
        <f>J500</f>
        <v>0</v>
      </c>
      <c r="K499" s="130">
        <f>K502+K503</f>
        <v>1958.5</v>
      </c>
      <c r="L499" s="130"/>
      <c r="M499" s="130">
        <f>M502+M503</f>
        <v>1958.5</v>
      </c>
      <c r="N499" s="130">
        <f>N502+N503</f>
        <v>1789.3</v>
      </c>
      <c r="O499" s="130"/>
      <c r="P499" s="130">
        <f>P502+P503</f>
        <v>1789.3</v>
      </c>
    </row>
    <row r="500" spans="1:16" ht="14.45" x14ac:dyDescent="0.3">
      <c r="A500" s="81"/>
      <c r="B500" s="81"/>
      <c r="C500" s="24"/>
      <c r="D500" s="7" t="s">
        <v>534</v>
      </c>
      <c r="E500" s="3" t="s">
        <v>535</v>
      </c>
      <c r="F500" s="141">
        <v>0</v>
      </c>
      <c r="G500" s="130">
        <f>G503</f>
        <v>0</v>
      </c>
      <c r="H500" s="130">
        <f>H503</f>
        <v>0</v>
      </c>
      <c r="I500" s="130"/>
      <c r="J500" s="130">
        <f>J503</f>
        <v>0</v>
      </c>
      <c r="K500" s="130">
        <v>1958.5</v>
      </c>
      <c r="L500" s="130"/>
      <c r="M500" s="130">
        <v>1958.5</v>
      </c>
      <c r="N500" s="130">
        <v>1789.3</v>
      </c>
      <c r="O500" s="130"/>
      <c r="P500" s="130">
        <v>1789.3</v>
      </c>
    </row>
    <row r="501" spans="1:16" ht="14.45" x14ac:dyDescent="0.3">
      <c r="A501" s="81"/>
      <c r="B501" s="81"/>
      <c r="C501" s="24"/>
      <c r="D501" s="7"/>
      <c r="E501" s="3" t="s">
        <v>182</v>
      </c>
      <c r="F501" s="141"/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</row>
    <row r="502" spans="1:16" ht="14.45" x14ac:dyDescent="0.3">
      <c r="A502" s="81"/>
      <c r="B502" s="81"/>
      <c r="C502" s="24"/>
      <c r="D502" s="13"/>
      <c r="E502" s="62" t="s">
        <v>250</v>
      </c>
      <c r="F502" s="130">
        <v>0</v>
      </c>
      <c r="G502" s="130"/>
      <c r="H502" s="130"/>
      <c r="I502" s="130"/>
      <c r="J502" s="130"/>
      <c r="K502" s="130">
        <v>1468.9</v>
      </c>
      <c r="L502" s="130"/>
      <c r="M502" s="130">
        <v>1468.9</v>
      </c>
      <c r="N502" s="130">
        <v>1342</v>
      </c>
      <c r="O502" s="130"/>
      <c r="P502" s="130">
        <v>1342</v>
      </c>
    </row>
    <row r="503" spans="1:16" ht="14.45" x14ac:dyDescent="0.3">
      <c r="A503" s="81"/>
      <c r="B503" s="81"/>
      <c r="C503" s="24"/>
      <c r="D503" s="13"/>
      <c r="E503" s="62" t="s">
        <v>354</v>
      </c>
      <c r="F503" s="130">
        <v>0</v>
      </c>
      <c r="G503" s="130"/>
      <c r="H503" s="130"/>
      <c r="I503" s="130"/>
      <c r="J503" s="130"/>
      <c r="K503" s="130">
        <v>489.6</v>
      </c>
      <c r="L503" s="130"/>
      <c r="M503" s="130">
        <v>489.6</v>
      </c>
      <c r="N503" s="130">
        <v>447.3</v>
      </c>
      <c r="O503" s="130"/>
      <c r="P503" s="130">
        <v>447.3</v>
      </c>
    </row>
    <row r="504" spans="1:16" ht="14.45" x14ac:dyDescent="0.3">
      <c r="A504" s="81"/>
      <c r="B504" s="18">
        <v>1004</v>
      </c>
      <c r="C504" s="86"/>
      <c r="D504" s="85"/>
      <c r="E504" s="87" t="s">
        <v>677</v>
      </c>
      <c r="F504" s="137">
        <f t="shared" ref="F504:P505" si="107">F505</f>
        <v>13463.71</v>
      </c>
      <c r="G504" s="137">
        <f t="shared" si="107"/>
        <v>-60.6</v>
      </c>
      <c r="H504" s="137">
        <f t="shared" si="107"/>
        <v>13092.784</v>
      </c>
      <c r="I504" s="137"/>
      <c r="J504" s="137">
        <f t="shared" si="107"/>
        <v>13092.784</v>
      </c>
      <c r="K504" s="137">
        <f t="shared" si="107"/>
        <v>10159.041999999999</v>
      </c>
      <c r="L504" s="137"/>
      <c r="M504" s="137">
        <f t="shared" si="107"/>
        <v>10159.041999999999</v>
      </c>
      <c r="N504" s="137">
        <f t="shared" si="107"/>
        <v>13125.684000000001</v>
      </c>
      <c r="O504" s="137"/>
      <c r="P504" s="137">
        <f t="shared" si="107"/>
        <v>13125.684000000001</v>
      </c>
    </row>
    <row r="505" spans="1:16" ht="14.45" x14ac:dyDescent="0.3">
      <c r="A505" s="81"/>
      <c r="B505" s="18"/>
      <c r="C505" s="86" t="s">
        <v>6</v>
      </c>
      <c r="D505" s="18"/>
      <c r="E505" s="90" t="s">
        <v>642</v>
      </c>
      <c r="F505" s="137">
        <f t="shared" si="107"/>
        <v>13463.71</v>
      </c>
      <c r="G505" s="137">
        <f t="shared" si="107"/>
        <v>-60.6</v>
      </c>
      <c r="H505" s="137">
        <f t="shared" si="107"/>
        <v>13092.784</v>
      </c>
      <c r="I505" s="137"/>
      <c r="J505" s="137">
        <f t="shared" si="107"/>
        <v>13092.784</v>
      </c>
      <c r="K505" s="137">
        <f t="shared" si="107"/>
        <v>10159.041999999999</v>
      </c>
      <c r="L505" s="137"/>
      <c r="M505" s="137">
        <f t="shared" si="107"/>
        <v>10159.041999999999</v>
      </c>
      <c r="N505" s="137">
        <f t="shared" si="107"/>
        <v>13125.684000000001</v>
      </c>
      <c r="O505" s="137"/>
      <c r="P505" s="137">
        <f t="shared" si="107"/>
        <v>13125.684000000001</v>
      </c>
    </row>
    <row r="506" spans="1:16" ht="37.5" customHeight="1" x14ac:dyDescent="0.3">
      <c r="A506" s="93"/>
      <c r="B506" s="94"/>
      <c r="C506" s="95" t="s">
        <v>213</v>
      </c>
      <c r="D506" s="94"/>
      <c r="E506" s="96" t="s">
        <v>214</v>
      </c>
      <c r="F506" s="138">
        <f>F507+F515</f>
        <v>13463.71</v>
      </c>
      <c r="G506" s="138">
        <f>G507+G515</f>
        <v>-60.6</v>
      </c>
      <c r="H506" s="138">
        <f>H507+H515</f>
        <v>13092.784</v>
      </c>
      <c r="I506" s="138"/>
      <c r="J506" s="138">
        <f>J507+J515</f>
        <v>13092.784</v>
      </c>
      <c r="K506" s="138">
        <f>K507+K489+K515+K281</f>
        <v>10159.041999999999</v>
      </c>
      <c r="L506" s="138"/>
      <c r="M506" s="138">
        <f>M507+M489+M515+M281</f>
        <v>10159.041999999999</v>
      </c>
      <c r="N506" s="138">
        <f>N507+N489+N515+N281</f>
        <v>13125.684000000001</v>
      </c>
      <c r="O506" s="138"/>
      <c r="P506" s="138">
        <f>P507+P489+P515+P281</f>
        <v>13125.684000000001</v>
      </c>
    </row>
    <row r="507" spans="1:16" ht="14.45" x14ac:dyDescent="0.3">
      <c r="A507" s="36"/>
      <c r="B507" s="36"/>
      <c r="C507" s="36" t="s">
        <v>215</v>
      </c>
      <c r="D507" s="36"/>
      <c r="E507" s="37" t="s">
        <v>216</v>
      </c>
      <c r="F507" s="131">
        <f t="shared" ref="F507:K507" si="108">F510+F508</f>
        <v>10702.81</v>
      </c>
      <c r="G507" s="131">
        <f t="shared" si="108"/>
        <v>-60.6</v>
      </c>
      <c r="H507" s="131">
        <f t="shared" si="108"/>
        <v>10331.884</v>
      </c>
      <c r="I507" s="131"/>
      <c r="J507" s="131">
        <f t="shared" si="108"/>
        <v>10331.884</v>
      </c>
      <c r="K507" s="131">
        <f t="shared" si="108"/>
        <v>7398.1419999999998</v>
      </c>
      <c r="L507" s="131"/>
      <c r="M507" s="131">
        <f>M510+M508</f>
        <v>7398.1419999999998</v>
      </c>
      <c r="N507" s="131">
        <f>N510+N508</f>
        <v>7603.884</v>
      </c>
      <c r="O507" s="131"/>
      <c r="P507" s="131">
        <f>P510+P508</f>
        <v>7603.884</v>
      </c>
    </row>
    <row r="508" spans="1:16" s="44" customFormat="1" ht="14.45" x14ac:dyDescent="0.3">
      <c r="A508" s="13"/>
      <c r="B508" s="13"/>
      <c r="C508" s="7" t="s">
        <v>217</v>
      </c>
      <c r="D508" s="7"/>
      <c r="E508" s="3" t="s">
        <v>218</v>
      </c>
      <c r="F508" s="130">
        <f>F509</f>
        <v>8942.81</v>
      </c>
      <c r="G508" s="130"/>
      <c r="H508" s="130">
        <f>H509</f>
        <v>8942.81</v>
      </c>
      <c r="I508" s="130"/>
      <c r="J508" s="130">
        <f>J509</f>
        <v>8942.81</v>
      </c>
      <c r="K508" s="130">
        <f>K509</f>
        <v>7398.1419999999998</v>
      </c>
      <c r="L508" s="130"/>
      <c r="M508" s="130">
        <f>M509</f>
        <v>7398.1419999999998</v>
      </c>
      <c r="N508" s="130">
        <f>N509</f>
        <v>7603.884</v>
      </c>
      <c r="O508" s="130"/>
      <c r="P508" s="130">
        <f>P509</f>
        <v>7603.884</v>
      </c>
    </row>
    <row r="509" spans="1:16" s="44" customFormat="1" ht="14.45" x14ac:dyDescent="0.3">
      <c r="A509" s="13"/>
      <c r="B509" s="13"/>
      <c r="C509" s="7"/>
      <c r="D509" s="7" t="s">
        <v>534</v>
      </c>
      <c r="E509" s="3" t="s">
        <v>535</v>
      </c>
      <c r="F509" s="130">
        <v>8942.81</v>
      </c>
      <c r="G509" s="130"/>
      <c r="H509" s="130">
        <v>8942.81</v>
      </c>
      <c r="I509" s="130"/>
      <c r="J509" s="130">
        <v>8942.81</v>
      </c>
      <c r="K509" s="130">
        <v>7398.1419999999998</v>
      </c>
      <c r="L509" s="130"/>
      <c r="M509" s="130">
        <v>7398.1419999999998</v>
      </c>
      <c r="N509" s="130">
        <v>7603.884</v>
      </c>
      <c r="O509" s="130"/>
      <c r="P509" s="130">
        <v>7603.884</v>
      </c>
    </row>
    <row r="510" spans="1:16" ht="53.45" x14ac:dyDescent="0.3">
      <c r="A510" s="7"/>
      <c r="B510" s="7"/>
      <c r="C510" s="7" t="s">
        <v>220</v>
      </c>
      <c r="D510" s="7"/>
      <c r="E510" s="3" t="s">
        <v>221</v>
      </c>
      <c r="F510" s="130">
        <v>1760</v>
      </c>
      <c r="G510" s="146">
        <f>G511</f>
        <v>-60.6</v>
      </c>
      <c r="H510" s="130">
        <f>H511</f>
        <v>1389.0740000000001</v>
      </c>
      <c r="I510" s="130"/>
      <c r="J510" s="130">
        <f>J511</f>
        <v>1389.0740000000001</v>
      </c>
      <c r="K510" s="130">
        <v>0</v>
      </c>
      <c r="L510" s="130"/>
      <c r="M510" s="130">
        <v>0</v>
      </c>
      <c r="N510" s="130">
        <v>0</v>
      </c>
      <c r="O510" s="130"/>
      <c r="P510" s="130">
        <v>0</v>
      </c>
    </row>
    <row r="511" spans="1:16" ht="14.45" x14ac:dyDescent="0.3">
      <c r="A511" s="7"/>
      <c r="B511" s="7"/>
      <c r="C511" s="7"/>
      <c r="D511" s="7" t="s">
        <v>534</v>
      </c>
      <c r="E511" s="3" t="s">
        <v>535</v>
      </c>
      <c r="F511" s="130">
        <v>1760</v>
      </c>
      <c r="G511" s="146">
        <f>G514</f>
        <v>-60.6</v>
      </c>
      <c r="H511" s="130">
        <v>1389.0740000000001</v>
      </c>
      <c r="I511" s="130"/>
      <c r="J511" s="130">
        <f>J514</f>
        <v>1389.0740000000001</v>
      </c>
      <c r="K511" s="130">
        <v>0</v>
      </c>
      <c r="L511" s="130"/>
      <c r="M511" s="130">
        <v>0</v>
      </c>
      <c r="N511" s="130">
        <v>0</v>
      </c>
      <c r="O511" s="130"/>
      <c r="P511" s="130">
        <v>0</v>
      </c>
    </row>
    <row r="512" spans="1:16" ht="14.45" x14ac:dyDescent="0.3">
      <c r="A512" s="7"/>
      <c r="B512" s="7"/>
      <c r="C512" s="7"/>
      <c r="D512" s="7"/>
      <c r="E512" s="3" t="s">
        <v>222</v>
      </c>
      <c r="F512" s="130">
        <v>0</v>
      </c>
      <c r="G512" s="146"/>
      <c r="H512" s="130">
        <v>0</v>
      </c>
      <c r="I512" s="130"/>
      <c r="J512" s="130">
        <v>0</v>
      </c>
      <c r="K512" s="130">
        <v>0</v>
      </c>
      <c r="L512" s="130"/>
      <c r="M512" s="130">
        <v>0</v>
      </c>
      <c r="N512" s="130">
        <v>0</v>
      </c>
      <c r="O512" s="130"/>
      <c r="P512" s="130">
        <v>0</v>
      </c>
    </row>
    <row r="513" spans="1:16" ht="14.45" x14ac:dyDescent="0.3">
      <c r="A513" s="7"/>
      <c r="B513" s="7"/>
      <c r="C513" s="7"/>
      <c r="D513" s="7"/>
      <c r="E513" s="3" t="s">
        <v>219</v>
      </c>
      <c r="F513" s="130">
        <v>0</v>
      </c>
      <c r="G513" s="146"/>
      <c r="H513" s="130">
        <v>0</v>
      </c>
      <c r="I513" s="130"/>
      <c r="J513" s="130">
        <v>0</v>
      </c>
      <c r="K513" s="130">
        <v>0</v>
      </c>
      <c r="L513" s="130"/>
      <c r="M513" s="130">
        <v>0</v>
      </c>
      <c r="N513" s="130">
        <v>0</v>
      </c>
      <c r="O513" s="130"/>
      <c r="P513" s="130">
        <v>0</v>
      </c>
    </row>
    <row r="514" spans="1:16" ht="14.45" x14ac:dyDescent="0.3">
      <c r="A514" s="7"/>
      <c r="B514" s="7"/>
      <c r="C514" s="7"/>
      <c r="D514" s="7"/>
      <c r="E514" s="3" t="s">
        <v>171</v>
      </c>
      <c r="F514" s="130">
        <v>1760</v>
      </c>
      <c r="G514" s="146">
        <v>-60.6</v>
      </c>
      <c r="H514" s="130">
        <v>1389.0740000000001</v>
      </c>
      <c r="I514" s="146"/>
      <c r="J514" s="130">
        <f>SUM(H514:I514)</f>
        <v>1389.0740000000001</v>
      </c>
      <c r="K514" s="130">
        <v>0</v>
      </c>
      <c r="L514" s="130"/>
      <c r="M514" s="130">
        <v>0</v>
      </c>
      <c r="N514" s="130">
        <v>0</v>
      </c>
      <c r="O514" s="130"/>
      <c r="P514" s="130">
        <v>0</v>
      </c>
    </row>
    <row r="515" spans="1:16" ht="40.15" x14ac:dyDescent="0.3">
      <c r="A515" s="36"/>
      <c r="B515" s="36"/>
      <c r="C515" s="36" t="s">
        <v>227</v>
      </c>
      <c r="D515" s="36"/>
      <c r="E515" s="37" t="s">
        <v>228</v>
      </c>
      <c r="F515" s="131">
        <f>F516</f>
        <v>2760.9</v>
      </c>
      <c r="G515" s="131"/>
      <c r="H515" s="131">
        <f>H516</f>
        <v>2760.9</v>
      </c>
      <c r="I515" s="131"/>
      <c r="J515" s="131">
        <f>J516</f>
        <v>2760.9</v>
      </c>
      <c r="K515" s="131">
        <f>K516</f>
        <v>2760.9</v>
      </c>
      <c r="L515" s="131"/>
      <c r="M515" s="131">
        <f>M516</f>
        <v>2760.9</v>
      </c>
      <c r="N515" s="131">
        <f>N516</f>
        <v>5521.8</v>
      </c>
      <c r="O515" s="131"/>
      <c r="P515" s="131">
        <f>P516</f>
        <v>5521.8</v>
      </c>
    </row>
    <row r="516" spans="1:16" ht="66.599999999999994" x14ac:dyDescent="0.3">
      <c r="A516" s="81"/>
      <c r="B516" s="81"/>
      <c r="C516" s="7" t="s">
        <v>231</v>
      </c>
      <c r="D516" s="7"/>
      <c r="E516" s="53" t="s">
        <v>232</v>
      </c>
      <c r="F516" s="130">
        <v>2760.9</v>
      </c>
      <c r="G516" s="130"/>
      <c r="H516" s="130">
        <v>2760.9</v>
      </c>
      <c r="I516" s="130"/>
      <c r="J516" s="130">
        <v>2760.9</v>
      </c>
      <c r="K516" s="130">
        <v>2760.9</v>
      </c>
      <c r="L516" s="130"/>
      <c r="M516" s="130">
        <v>2760.9</v>
      </c>
      <c r="N516" s="130">
        <v>5521.8</v>
      </c>
      <c r="O516" s="130"/>
      <c r="P516" s="130">
        <v>5521.8</v>
      </c>
    </row>
    <row r="517" spans="1:16" ht="27" x14ac:dyDescent="0.3">
      <c r="A517" s="81"/>
      <c r="B517" s="81"/>
      <c r="C517" s="7"/>
      <c r="D517" s="7" t="s">
        <v>362</v>
      </c>
      <c r="E517" s="3" t="s">
        <v>363</v>
      </c>
      <c r="F517" s="130">
        <v>2760.9</v>
      </c>
      <c r="G517" s="130"/>
      <c r="H517" s="146">
        <v>2760.9</v>
      </c>
      <c r="I517" s="146"/>
      <c r="J517" s="146">
        <v>2760.9</v>
      </c>
      <c r="K517" s="146">
        <v>2760.9</v>
      </c>
      <c r="L517" s="146"/>
      <c r="M517" s="146">
        <v>2760.9</v>
      </c>
      <c r="N517" s="146">
        <v>5521.8</v>
      </c>
      <c r="O517" s="146"/>
      <c r="P517" s="146">
        <v>5521.8</v>
      </c>
    </row>
    <row r="518" spans="1:16" ht="14.45" x14ac:dyDescent="0.3">
      <c r="A518" s="81"/>
      <c r="B518" s="18" t="s">
        <v>678</v>
      </c>
      <c r="C518" s="86"/>
      <c r="D518" s="85"/>
      <c r="E518" s="87" t="s">
        <v>679</v>
      </c>
      <c r="F518" s="137">
        <f>F519</f>
        <v>95.1</v>
      </c>
      <c r="G518" s="137"/>
      <c r="H518" s="137">
        <f t="shared" ref="H518:P521" si="109">H519</f>
        <v>95.1</v>
      </c>
      <c r="I518" s="137"/>
      <c r="J518" s="137">
        <f t="shared" si="109"/>
        <v>95.1</v>
      </c>
      <c r="K518" s="137">
        <f t="shared" si="109"/>
        <v>103</v>
      </c>
      <c r="L518" s="137"/>
      <c r="M518" s="137">
        <f t="shared" si="109"/>
        <v>103</v>
      </c>
      <c r="N518" s="137">
        <f t="shared" si="109"/>
        <v>143</v>
      </c>
      <c r="O518" s="137"/>
      <c r="P518" s="137">
        <f t="shared" si="109"/>
        <v>143</v>
      </c>
    </row>
    <row r="519" spans="1:16" ht="14.45" x14ac:dyDescent="0.3">
      <c r="A519" s="81"/>
      <c r="B519" s="18"/>
      <c r="C519" s="86" t="s">
        <v>6</v>
      </c>
      <c r="D519" s="18"/>
      <c r="E519" s="90" t="s">
        <v>642</v>
      </c>
      <c r="F519" s="137">
        <f>F520</f>
        <v>95.1</v>
      </c>
      <c r="G519" s="137"/>
      <c r="H519" s="137">
        <f t="shared" si="109"/>
        <v>95.1</v>
      </c>
      <c r="I519" s="137"/>
      <c r="J519" s="137">
        <f t="shared" si="109"/>
        <v>95.1</v>
      </c>
      <c r="K519" s="137">
        <f t="shared" si="109"/>
        <v>103</v>
      </c>
      <c r="L519" s="137"/>
      <c r="M519" s="137">
        <f t="shared" si="109"/>
        <v>103</v>
      </c>
      <c r="N519" s="137">
        <f t="shared" si="109"/>
        <v>143</v>
      </c>
      <c r="O519" s="137"/>
      <c r="P519" s="137">
        <f t="shared" si="109"/>
        <v>143</v>
      </c>
    </row>
    <row r="520" spans="1:16" ht="39.6" x14ac:dyDescent="0.3">
      <c r="A520" s="93"/>
      <c r="B520" s="94"/>
      <c r="C520" s="95" t="s">
        <v>213</v>
      </c>
      <c r="D520" s="94"/>
      <c r="E520" s="96" t="s">
        <v>214</v>
      </c>
      <c r="F520" s="138">
        <f>F521</f>
        <v>95.1</v>
      </c>
      <c r="G520" s="138"/>
      <c r="H520" s="138">
        <f t="shared" si="109"/>
        <v>95.1</v>
      </c>
      <c r="I520" s="138"/>
      <c r="J520" s="138">
        <f t="shared" si="109"/>
        <v>95.1</v>
      </c>
      <c r="K520" s="138">
        <f t="shared" si="109"/>
        <v>103</v>
      </c>
      <c r="L520" s="138"/>
      <c r="M520" s="138">
        <f t="shared" si="109"/>
        <v>103</v>
      </c>
      <c r="N520" s="138">
        <f t="shared" si="109"/>
        <v>143</v>
      </c>
      <c r="O520" s="138"/>
      <c r="P520" s="138">
        <f t="shared" si="109"/>
        <v>143</v>
      </c>
    </row>
    <row r="521" spans="1:16" ht="40.15" x14ac:dyDescent="0.3">
      <c r="A521" s="36"/>
      <c r="B521" s="36"/>
      <c r="C521" s="36" t="s">
        <v>227</v>
      </c>
      <c r="D521" s="36"/>
      <c r="E521" s="37" t="s">
        <v>228</v>
      </c>
      <c r="F521" s="131">
        <f>F522</f>
        <v>95.1</v>
      </c>
      <c r="G521" s="131"/>
      <c r="H521" s="131">
        <f t="shared" si="109"/>
        <v>95.1</v>
      </c>
      <c r="I521" s="131"/>
      <c r="J521" s="131">
        <f t="shared" si="109"/>
        <v>95.1</v>
      </c>
      <c r="K521" s="131">
        <f t="shared" si="109"/>
        <v>103</v>
      </c>
      <c r="L521" s="131"/>
      <c r="M521" s="131">
        <f t="shared" si="109"/>
        <v>103</v>
      </c>
      <c r="N521" s="131">
        <f t="shared" si="109"/>
        <v>143</v>
      </c>
      <c r="O521" s="131"/>
      <c r="P521" s="131">
        <f t="shared" si="109"/>
        <v>143</v>
      </c>
    </row>
    <row r="522" spans="1:16" ht="40.15" x14ac:dyDescent="0.3">
      <c r="A522" s="81"/>
      <c r="B522" s="81"/>
      <c r="C522" s="7" t="s">
        <v>229</v>
      </c>
      <c r="D522" s="7"/>
      <c r="E522" s="3" t="s">
        <v>230</v>
      </c>
      <c r="F522" s="130">
        <v>95.1</v>
      </c>
      <c r="G522" s="130"/>
      <c r="H522" s="130">
        <v>95.1</v>
      </c>
      <c r="I522" s="130"/>
      <c r="J522" s="130">
        <v>95.1</v>
      </c>
      <c r="K522" s="130">
        <v>103</v>
      </c>
      <c r="L522" s="130"/>
      <c r="M522" s="130">
        <v>103</v>
      </c>
      <c r="N522" s="130">
        <v>143</v>
      </c>
      <c r="O522" s="130"/>
      <c r="P522" s="130">
        <v>143</v>
      </c>
    </row>
    <row r="523" spans="1:16" ht="30" customHeight="1" x14ac:dyDescent="0.3">
      <c r="A523" s="81"/>
      <c r="B523" s="81"/>
      <c r="C523" s="7"/>
      <c r="D523" s="7" t="s">
        <v>336</v>
      </c>
      <c r="E523" s="3" t="s">
        <v>337</v>
      </c>
      <c r="F523" s="130">
        <v>95.1</v>
      </c>
      <c r="G523" s="130"/>
      <c r="H523" s="130">
        <v>95.1</v>
      </c>
      <c r="I523" s="130"/>
      <c r="J523" s="130">
        <v>95.1</v>
      </c>
      <c r="K523" s="130">
        <v>103</v>
      </c>
      <c r="L523" s="130"/>
      <c r="M523" s="130">
        <v>103</v>
      </c>
      <c r="N523" s="130">
        <v>143</v>
      </c>
      <c r="O523" s="130"/>
      <c r="P523" s="130">
        <v>143</v>
      </c>
    </row>
    <row r="524" spans="1:16" ht="26.45" x14ac:dyDescent="0.3">
      <c r="A524" s="83">
        <v>611</v>
      </c>
      <c r="B524" s="106"/>
      <c r="C524" s="107"/>
      <c r="D524" s="83"/>
      <c r="E524" s="84" t="s">
        <v>680</v>
      </c>
      <c r="F524" s="160">
        <f t="shared" ref="F524:P524" si="110">F525+F533+F681+F716</f>
        <v>429703.32200000004</v>
      </c>
      <c r="G524" s="160">
        <f t="shared" si="110"/>
        <v>2656.6</v>
      </c>
      <c r="H524" s="160">
        <f t="shared" si="110"/>
        <v>433402.6160000001</v>
      </c>
      <c r="I524" s="160">
        <f t="shared" si="110"/>
        <v>-1329.0635999999997</v>
      </c>
      <c r="J524" s="160">
        <f t="shared" si="110"/>
        <v>432073.55239999999</v>
      </c>
      <c r="K524" s="160">
        <f t="shared" si="110"/>
        <v>423852.00000000006</v>
      </c>
      <c r="L524" s="160">
        <f t="shared" si="110"/>
        <v>0</v>
      </c>
      <c r="M524" s="160">
        <f t="shared" si="110"/>
        <v>423852.00000000006</v>
      </c>
      <c r="N524" s="160">
        <f t="shared" si="110"/>
        <v>422152.00000000006</v>
      </c>
      <c r="O524" s="160">
        <f t="shared" si="110"/>
        <v>0</v>
      </c>
      <c r="P524" s="160">
        <f t="shared" si="110"/>
        <v>422152.00000000006</v>
      </c>
    </row>
    <row r="525" spans="1:16" ht="14.45" x14ac:dyDescent="0.3">
      <c r="A525" s="85"/>
      <c r="B525" s="18" t="s">
        <v>615</v>
      </c>
      <c r="C525" s="86"/>
      <c r="D525" s="85"/>
      <c r="E525" s="87" t="s">
        <v>752</v>
      </c>
      <c r="F525" s="137">
        <f t="shared" ref="F525:F530" si="111">F526</f>
        <v>9</v>
      </c>
      <c r="G525" s="137"/>
      <c r="H525" s="137">
        <f t="shared" ref="H525:J530" si="112">H526</f>
        <v>9</v>
      </c>
      <c r="I525" s="137"/>
      <c r="J525" s="137">
        <f t="shared" si="112"/>
        <v>9</v>
      </c>
      <c r="K525" s="137">
        <f t="shared" ref="K525:P527" si="113">K526</f>
        <v>9.4</v>
      </c>
      <c r="L525" s="137"/>
      <c r="M525" s="137">
        <f t="shared" si="113"/>
        <v>9.4</v>
      </c>
      <c r="N525" s="137">
        <f t="shared" si="113"/>
        <v>9.6999999999999993</v>
      </c>
      <c r="O525" s="137"/>
      <c r="P525" s="137">
        <f t="shared" si="113"/>
        <v>9.6999999999999993</v>
      </c>
    </row>
    <row r="526" spans="1:16" ht="14.45" x14ac:dyDescent="0.3">
      <c r="A526" s="85"/>
      <c r="B526" s="18" t="s">
        <v>627</v>
      </c>
      <c r="C526" s="86"/>
      <c r="D526" s="85"/>
      <c r="E526" s="87" t="s">
        <v>628</v>
      </c>
      <c r="F526" s="137">
        <f t="shared" si="111"/>
        <v>9</v>
      </c>
      <c r="G526" s="137"/>
      <c r="H526" s="137">
        <f t="shared" si="112"/>
        <v>9</v>
      </c>
      <c r="I526" s="137"/>
      <c r="J526" s="137">
        <f t="shared" si="112"/>
        <v>9</v>
      </c>
      <c r="K526" s="137">
        <f t="shared" si="113"/>
        <v>9.4</v>
      </c>
      <c r="L526" s="137"/>
      <c r="M526" s="137">
        <f t="shared" si="113"/>
        <v>9.4</v>
      </c>
      <c r="N526" s="137">
        <f t="shared" si="113"/>
        <v>9.6999999999999993</v>
      </c>
      <c r="O526" s="137"/>
      <c r="P526" s="137">
        <f t="shared" si="113"/>
        <v>9.6999999999999993</v>
      </c>
    </row>
    <row r="527" spans="1:16" ht="26.45" x14ac:dyDescent="0.3">
      <c r="A527" s="85"/>
      <c r="B527" s="18"/>
      <c r="C527" s="86" t="s">
        <v>6</v>
      </c>
      <c r="D527" s="85"/>
      <c r="E527" s="90" t="s">
        <v>7</v>
      </c>
      <c r="F527" s="157">
        <f t="shared" si="111"/>
        <v>9</v>
      </c>
      <c r="G527" s="157"/>
      <c r="H527" s="157">
        <f t="shared" si="112"/>
        <v>9</v>
      </c>
      <c r="I527" s="157"/>
      <c r="J527" s="157">
        <f t="shared" si="112"/>
        <v>9</v>
      </c>
      <c r="K527" s="157">
        <f t="shared" si="113"/>
        <v>9.4</v>
      </c>
      <c r="L527" s="157"/>
      <c r="M527" s="157">
        <f t="shared" si="113"/>
        <v>9.4</v>
      </c>
      <c r="N527" s="157">
        <f t="shared" si="113"/>
        <v>9.6999999999999993</v>
      </c>
      <c r="O527" s="157"/>
      <c r="P527" s="157">
        <f t="shared" si="113"/>
        <v>9.6999999999999993</v>
      </c>
    </row>
    <row r="528" spans="1:16" ht="26.45" x14ac:dyDescent="0.3">
      <c r="A528" s="93"/>
      <c r="B528" s="94"/>
      <c r="C528" s="95" t="s">
        <v>190</v>
      </c>
      <c r="D528" s="94"/>
      <c r="E528" s="96" t="s">
        <v>191</v>
      </c>
      <c r="F528" s="138">
        <f t="shared" si="111"/>
        <v>9</v>
      </c>
      <c r="G528" s="138"/>
      <c r="H528" s="138">
        <f t="shared" si="112"/>
        <v>9</v>
      </c>
      <c r="I528" s="138"/>
      <c r="J528" s="138">
        <f t="shared" si="112"/>
        <v>9</v>
      </c>
      <c r="K528" s="138">
        <f t="shared" ref="K528:P530" si="114">K529</f>
        <v>9.4</v>
      </c>
      <c r="L528" s="138"/>
      <c r="M528" s="138">
        <f t="shared" si="114"/>
        <v>9.4</v>
      </c>
      <c r="N528" s="138">
        <f t="shared" si="114"/>
        <v>9.6999999999999993</v>
      </c>
      <c r="O528" s="138"/>
      <c r="P528" s="138">
        <f t="shared" si="114"/>
        <v>9.6999999999999993</v>
      </c>
    </row>
    <row r="529" spans="1:18" ht="27" x14ac:dyDescent="0.3">
      <c r="A529" s="34"/>
      <c r="B529" s="34"/>
      <c r="C529" s="34" t="s">
        <v>198</v>
      </c>
      <c r="D529" s="34"/>
      <c r="E529" s="35" t="s">
        <v>199</v>
      </c>
      <c r="F529" s="139">
        <f t="shared" si="111"/>
        <v>9</v>
      </c>
      <c r="G529" s="139"/>
      <c r="H529" s="139">
        <f t="shared" si="112"/>
        <v>9</v>
      </c>
      <c r="I529" s="139"/>
      <c r="J529" s="139">
        <f t="shared" si="112"/>
        <v>9</v>
      </c>
      <c r="K529" s="139">
        <f t="shared" si="114"/>
        <v>9.4</v>
      </c>
      <c r="L529" s="139"/>
      <c r="M529" s="139">
        <f t="shared" si="114"/>
        <v>9.4</v>
      </c>
      <c r="N529" s="139">
        <f t="shared" si="114"/>
        <v>9.6999999999999993</v>
      </c>
      <c r="O529" s="139"/>
      <c r="P529" s="139">
        <f t="shared" si="114"/>
        <v>9.6999999999999993</v>
      </c>
    </row>
    <row r="530" spans="1:18" ht="27" x14ac:dyDescent="0.3">
      <c r="A530" s="36"/>
      <c r="B530" s="36"/>
      <c r="C530" s="36" t="s">
        <v>200</v>
      </c>
      <c r="D530" s="36"/>
      <c r="E530" s="37" t="s">
        <v>201</v>
      </c>
      <c r="F530" s="131">
        <f t="shared" si="111"/>
        <v>9</v>
      </c>
      <c r="G530" s="131"/>
      <c r="H530" s="131">
        <f t="shared" si="112"/>
        <v>9</v>
      </c>
      <c r="I530" s="131"/>
      <c r="J530" s="131">
        <f t="shared" si="112"/>
        <v>9</v>
      </c>
      <c r="K530" s="131">
        <f t="shared" si="114"/>
        <v>9.4</v>
      </c>
      <c r="L530" s="131"/>
      <c r="M530" s="131">
        <f t="shared" si="114"/>
        <v>9.4</v>
      </c>
      <c r="N530" s="131">
        <f t="shared" si="114"/>
        <v>9.6999999999999993</v>
      </c>
      <c r="O530" s="131"/>
      <c r="P530" s="131">
        <f t="shared" si="114"/>
        <v>9.6999999999999993</v>
      </c>
    </row>
    <row r="531" spans="1:18" ht="27" x14ac:dyDescent="0.3">
      <c r="A531" s="81"/>
      <c r="B531" s="81"/>
      <c r="C531" s="7" t="s">
        <v>202</v>
      </c>
      <c r="D531" s="7"/>
      <c r="E531" s="3" t="s">
        <v>203</v>
      </c>
      <c r="F531" s="130">
        <v>9</v>
      </c>
      <c r="G531" s="130"/>
      <c r="H531" s="130">
        <v>9</v>
      </c>
      <c r="I531" s="130"/>
      <c r="J531" s="130">
        <v>9</v>
      </c>
      <c r="K531" s="130">
        <v>9.4</v>
      </c>
      <c r="L531" s="130"/>
      <c r="M531" s="130">
        <v>9.4</v>
      </c>
      <c r="N531" s="130">
        <v>9.6999999999999993</v>
      </c>
      <c r="O531" s="130"/>
      <c r="P531" s="130">
        <v>9.6999999999999993</v>
      </c>
    </row>
    <row r="532" spans="1:18" ht="27" x14ac:dyDescent="0.3">
      <c r="A532" s="81"/>
      <c r="B532" s="81"/>
      <c r="C532" s="7"/>
      <c r="D532" s="7" t="s">
        <v>608</v>
      </c>
      <c r="E532" s="3" t="s">
        <v>609</v>
      </c>
      <c r="F532" s="130">
        <v>9</v>
      </c>
      <c r="G532" s="130"/>
      <c r="H532" s="130">
        <v>9</v>
      </c>
      <c r="I532" s="130"/>
      <c r="J532" s="130">
        <v>9</v>
      </c>
      <c r="K532" s="130">
        <v>9.4</v>
      </c>
      <c r="L532" s="130"/>
      <c r="M532" s="130">
        <v>9.4</v>
      </c>
      <c r="N532" s="130">
        <v>9.6999999999999993</v>
      </c>
      <c r="O532" s="130"/>
      <c r="P532" s="130">
        <v>9.6999999999999993</v>
      </c>
    </row>
    <row r="533" spans="1:18" ht="14.45" x14ac:dyDescent="0.3">
      <c r="A533" s="80"/>
      <c r="B533" s="18" t="s">
        <v>667</v>
      </c>
      <c r="C533" s="86"/>
      <c r="D533" s="85"/>
      <c r="E533" s="87" t="s">
        <v>668</v>
      </c>
      <c r="F533" s="137">
        <f t="shared" ref="F533:K533" si="115">F534+F561+F624+F637+F650</f>
        <v>393106.91000000003</v>
      </c>
      <c r="G533" s="137">
        <f t="shared" si="115"/>
        <v>2656.6</v>
      </c>
      <c r="H533" s="137">
        <f t="shared" si="115"/>
        <v>397116.91394000006</v>
      </c>
      <c r="I533" s="137">
        <f t="shared" si="115"/>
        <v>-623.39032999999995</v>
      </c>
      <c r="J533" s="137">
        <f t="shared" si="115"/>
        <v>396493.52360999997</v>
      </c>
      <c r="K533" s="137">
        <f t="shared" si="115"/>
        <v>390716.4</v>
      </c>
      <c r="L533" s="137">
        <f>L534+L561+L624+L637+L650</f>
        <v>0</v>
      </c>
      <c r="M533" s="137">
        <f>M534+M561+M624+M637+M650</f>
        <v>390716.4</v>
      </c>
      <c r="N533" s="137">
        <f>N534+N561+N624+N637+N650</f>
        <v>386002.10000000003</v>
      </c>
      <c r="O533" s="137">
        <f>O534+O561+O624+O637+O650</f>
        <v>0</v>
      </c>
      <c r="P533" s="137">
        <f>P534+P561+P624+P637+P650</f>
        <v>386002.10000000003</v>
      </c>
    </row>
    <row r="534" spans="1:18" ht="14.45" x14ac:dyDescent="0.3">
      <c r="A534" s="80"/>
      <c r="B534" s="18" t="s">
        <v>681</v>
      </c>
      <c r="C534" s="86"/>
      <c r="D534" s="85"/>
      <c r="E534" s="87" t="s">
        <v>682</v>
      </c>
      <c r="F534" s="137">
        <f t="shared" ref="F534:J535" si="116">F535</f>
        <v>101075.76899999999</v>
      </c>
      <c r="G534" s="137">
        <f t="shared" si="116"/>
        <v>363.64000000000004</v>
      </c>
      <c r="H534" s="137">
        <f t="shared" si="116"/>
        <v>101363.30899999999</v>
      </c>
      <c r="I534" s="137">
        <f t="shared" si="116"/>
        <v>-1008.7506099999999</v>
      </c>
      <c r="J534" s="137">
        <f t="shared" si="116"/>
        <v>100354.55838999999</v>
      </c>
      <c r="K534" s="137">
        <f>K535</f>
        <v>93544.2</v>
      </c>
      <c r="L534" s="137"/>
      <c r="M534" s="137">
        <f>M535</f>
        <v>93544.2</v>
      </c>
      <c r="N534" s="137">
        <f>N535</f>
        <v>90550.399999999994</v>
      </c>
      <c r="O534" s="137"/>
      <c r="P534" s="137">
        <f>P535</f>
        <v>90550.399999999994</v>
      </c>
    </row>
    <row r="535" spans="1:18" s="48" customFormat="1" ht="14.45" x14ac:dyDescent="0.3">
      <c r="A535" s="85"/>
      <c r="B535" s="18"/>
      <c r="C535" s="86" t="s">
        <v>6</v>
      </c>
      <c r="D535" s="85"/>
      <c r="E535" s="90" t="s">
        <v>642</v>
      </c>
      <c r="F535" s="137">
        <f t="shared" si="116"/>
        <v>101075.76899999999</v>
      </c>
      <c r="G535" s="137">
        <f t="shared" si="116"/>
        <v>363.64000000000004</v>
      </c>
      <c r="H535" s="137">
        <f t="shared" si="116"/>
        <v>101363.30899999999</v>
      </c>
      <c r="I535" s="137">
        <f t="shared" si="116"/>
        <v>-1008.7506099999999</v>
      </c>
      <c r="J535" s="137">
        <f t="shared" si="116"/>
        <v>100354.55838999999</v>
      </c>
      <c r="K535" s="137">
        <f>K536</f>
        <v>93544.2</v>
      </c>
      <c r="L535" s="137"/>
      <c r="M535" s="137">
        <f>M536</f>
        <v>93544.2</v>
      </c>
      <c r="N535" s="137">
        <f>N536</f>
        <v>90550.399999999994</v>
      </c>
      <c r="O535" s="137"/>
      <c r="P535" s="137">
        <f>P536</f>
        <v>90550.399999999994</v>
      </c>
    </row>
    <row r="536" spans="1:18" ht="26.45" x14ac:dyDescent="0.3">
      <c r="A536" s="93"/>
      <c r="B536" s="94"/>
      <c r="C536" s="95" t="s">
        <v>65</v>
      </c>
      <c r="D536" s="94"/>
      <c r="E536" s="96" t="s">
        <v>66</v>
      </c>
      <c r="F536" s="138">
        <f t="shared" ref="F536:K536" si="117">F537+F549+F553</f>
        <v>101075.76899999999</v>
      </c>
      <c r="G536" s="138">
        <f t="shared" si="117"/>
        <v>363.64000000000004</v>
      </c>
      <c r="H536" s="138">
        <f t="shared" si="117"/>
        <v>101363.30899999999</v>
      </c>
      <c r="I536" s="138">
        <f t="shared" ref="I536" si="118">I537+I549+I553</f>
        <v>-1008.7506099999999</v>
      </c>
      <c r="J536" s="138">
        <f t="shared" si="117"/>
        <v>100354.55838999999</v>
      </c>
      <c r="K536" s="138">
        <f t="shared" si="117"/>
        <v>93544.2</v>
      </c>
      <c r="L536" s="138"/>
      <c r="M536" s="138">
        <f>M537+M549+M553</f>
        <v>93544.2</v>
      </c>
      <c r="N536" s="138">
        <f>N537+N549+N553</f>
        <v>90550.399999999994</v>
      </c>
      <c r="O536" s="138"/>
      <c r="P536" s="138">
        <f>P537+P549+P553</f>
        <v>90550.399999999994</v>
      </c>
    </row>
    <row r="537" spans="1:18" ht="14.45" x14ac:dyDescent="0.3">
      <c r="A537" s="34"/>
      <c r="B537" s="34"/>
      <c r="C537" s="34" t="s">
        <v>67</v>
      </c>
      <c r="D537" s="34"/>
      <c r="E537" s="35" t="s">
        <v>68</v>
      </c>
      <c r="F537" s="139">
        <f t="shared" ref="F537:K537" si="119">F538+F546</f>
        <v>97368.499999999985</v>
      </c>
      <c r="G537" s="139">
        <f t="shared" si="119"/>
        <v>-119.96</v>
      </c>
      <c r="H537" s="139">
        <f t="shared" si="119"/>
        <v>97172.44</v>
      </c>
      <c r="I537" s="139">
        <f t="shared" ref="I537" si="120">I538+I546</f>
        <v>-996.8</v>
      </c>
      <c r="J537" s="139">
        <f t="shared" si="119"/>
        <v>96175.64</v>
      </c>
      <c r="K537" s="139">
        <f t="shared" si="119"/>
        <v>92691.8</v>
      </c>
      <c r="L537" s="139"/>
      <c r="M537" s="139">
        <f>M538+M546</f>
        <v>92691.8</v>
      </c>
      <c r="N537" s="139">
        <f>N538+N546</f>
        <v>89771.5</v>
      </c>
      <c r="O537" s="139"/>
      <c r="P537" s="139">
        <f>P538+P546</f>
        <v>89771.5</v>
      </c>
    </row>
    <row r="538" spans="1:18" ht="40.15" x14ac:dyDescent="0.3">
      <c r="A538" s="36"/>
      <c r="B538" s="36"/>
      <c r="C538" s="36" t="s">
        <v>69</v>
      </c>
      <c r="D538" s="36"/>
      <c r="E538" s="37" t="s">
        <v>70</v>
      </c>
      <c r="F538" s="131">
        <f t="shared" ref="F538:K538" si="121">F539+F541+F544</f>
        <v>96200.799999999988</v>
      </c>
      <c r="G538" s="131">
        <f t="shared" si="121"/>
        <v>-119.96</v>
      </c>
      <c r="H538" s="131">
        <f t="shared" si="121"/>
        <v>96004.74</v>
      </c>
      <c r="I538" s="131">
        <f t="shared" ref="I538" si="122">I539+I541+I544</f>
        <v>-996.8</v>
      </c>
      <c r="J538" s="131">
        <f t="shared" si="121"/>
        <v>95007.94</v>
      </c>
      <c r="K538" s="131">
        <f t="shared" si="121"/>
        <v>91478.8</v>
      </c>
      <c r="L538" s="131"/>
      <c r="M538" s="131">
        <f>M539+M541+M544</f>
        <v>91478.8</v>
      </c>
      <c r="N538" s="131">
        <f>N539+N541+N544</f>
        <v>88510</v>
      </c>
      <c r="O538" s="131"/>
      <c r="P538" s="131">
        <f>P539+P541+P544</f>
        <v>88510</v>
      </c>
    </row>
    <row r="539" spans="1:18" ht="27" x14ac:dyDescent="0.3">
      <c r="A539" s="81"/>
      <c r="B539" s="81"/>
      <c r="C539" s="7" t="s">
        <v>71</v>
      </c>
      <c r="D539" s="13"/>
      <c r="E539" s="3" t="s">
        <v>72</v>
      </c>
      <c r="F539" s="130">
        <f>29730.8-825.9</f>
        <v>28904.899999999998</v>
      </c>
      <c r="G539" s="130"/>
      <c r="H539" s="130">
        <f>H540</f>
        <v>28828.799999999999</v>
      </c>
      <c r="I539" s="130">
        <f>I540</f>
        <v>-906.8</v>
      </c>
      <c r="J539" s="130">
        <f>J540</f>
        <v>27922</v>
      </c>
      <c r="K539" s="130">
        <f>30880.8-1522.3</f>
        <v>29358.5</v>
      </c>
      <c r="L539" s="130"/>
      <c r="M539" s="130">
        <f>30880.8-1522.3</f>
        <v>29358.5</v>
      </c>
      <c r="N539" s="130">
        <f>32305.7-2571.4</f>
        <v>29734.3</v>
      </c>
      <c r="O539" s="130"/>
      <c r="P539" s="130">
        <f>32305.7-2571.4</f>
        <v>29734.3</v>
      </c>
    </row>
    <row r="540" spans="1:18" ht="26.25" x14ac:dyDescent="0.25">
      <c r="A540" s="81"/>
      <c r="B540" s="81"/>
      <c r="C540" s="7"/>
      <c r="D540" s="7" t="s">
        <v>608</v>
      </c>
      <c r="E540" s="3" t="s">
        <v>609</v>
      </c>
      <c r="F540" s="130">
        <f>29730.8-825.9</f>
        <v>28904.899999999998</v>
      </c>
      <c r="G540" s="130"/>
      <c r="H540" s="130">
        <v>28828.799999999999</v>
      </c>
      <c r="I540" s="146">
        <v>-906.8</v>
      </c>
      <c r="J540" s="130">
        <f>SUM(H540:I540)</f>
        <v>27922</v>
      </c>
      <c r="K540" s="130">
        <f>30880.8-1522.3</f>
        <v>29358.5</v>
      </c>
      <c r="L540" s="130"/>
      <c r="M540" s="130">
        <f>30880.8-1522.3</f>
        <v>29358.5</v>
      </c>
      <c r="N540" s="130">
        <f>32305.7-2571.4</f>
        <v>29734.3</v>
      </c>
      <c r="O540" s="130"/>
      <c r="P540" s="130">
        <f>32305.7-2571.4</f>
        <v>29734.3</v>
      </c>
      <c r="R540" s="42"/>
    </row>
    <row r="541" spans="1:18" ht="39" x14ac:dyDescent="0.25">
      <c r="A541" s="81"/>
      <c r="B541" s="81"/>
      <c r="C541" s="7" t="s">
        <v>73</v>
      </c>
      <c r="D541" s="7"/>
      <c r="E541" s="3" t="s">
        <v>74</v>
      </c>
      <c r="F541" s="130">
        <f>F542+F543</f>
        <v>66238.7</v>
      </c>
      <c r="G541" s="130"/>
      <c r="H541" s="130">
        <f>H542+H543</f>
        <v>66238.7</v>
      </c>
      <c r="I541" s="130"/>
      <c r="J541" s="130">
        <f>J542+J543</f>
        <v>66238.7</v>
      </c>
      <c r="K541" s="130">
        <f>K542+K543</f>
        <v>61020.800000000003</v>
      </c>
      <c r="L541" s="130"/>
      <c r="M541" s="130">
        <f>M542+M543</f>
        <v>61020.800000000003</v>
      </c>
      <c r="N541" s="130">
        <f>N542+N543</f>
        <v>57632.200000000004</v>
      </c>
      <c r="O541" s="130"/>
      <c r="P541" s="130">
        <f>P542+P543</f>
        <v>57632.200000000004</v>
      </c>
      <c r="R541" s="42"/>
    </row>
    <row r="542" spans="1:18" ht="14.45" x14ac:dyDescent="0.3">
      <c r="A542" s="81"/>
      <c r="B542" s="81"/>
      <c r="C542" s="7"/>
      <c r="D542" s="7" t="s">
        <v>534</v>
      </c>
      <c r="E542" s="3" t="s">
        <v>535</v>
      </c>
      <c r="F542" s="130">
        <v>22.9</v>
      </c>
      <c r="G542" s="130"/>
      <c r="H542" s="130">
        <v>22.9</v>
      </c>
      <c r="I542" s="130"/>
      <c r="J542" s="130">
        <v>22.9</v>
      </c>
      <c r="K542" s="130">
        <v>22.9</v>
      </c>
      <c r="L542" s="130"/>
      <c r="M542" s="130">
        <v>22.9</v>
      </c>
      <c r="N542" s="130">
        <v>22.9</v>
      </c>
      <c r="O542" s="130"/>
      <c r="P542" s="130">
        <v>22.9</v>
      </c>
    </row>
    <row r="543" spans="1:18" ht="27" x14ac:dyDescent="0.3">
      <c r="A543" s="81"/>
      <c r="B543" s="81"/>
      <c r="C543" s="7"/>
      <c r="D543" s="7" t="s">
        <v>608</v>
      </c>
      <c r="E543" s="3" t="s">
        <v>609</v>
      </c>
      <c r="F543" s="130">
        <f>66225.3-9.5</f>
        <v>66215.8</v>
      </c>
      <c r="G543" s="130"/>
      <c r="H543" s="130">
        <f>66225.3-9.5+G543</f>
        <v>66215.8</v>
      </c>
      <c r="I543" s="130"/>
      <c r="J543" s="130">
        <f>66225.3-9.5+I543</f>
        <v>66215.8</v>
      </c>
      <c r="K543" s="146">
        <f>61006.8-8.9</f>
        <v>60997.9</v>
      </c>
      <c r="L543" s="146"/>
      <c r="M543" s="146">
        <f>61006.8-8.9</f>
        <v>60997.9</v>
      </c>
      <c r="N543" s="146">
        <f>57618-8.7</f>
        <v>57609.3</v>
      </c>
      <c r="O543" s="146"/>
      <c r="P543" s="146">
        <f>57618-8.7</f>
        <v>57609.3</v>
      </c>
    </row>
    <row r="544" spans="1:18" ht="27" x14ac:dyDescent="0.3">
      <c r="A544" s="81"/>
      <c r="B544" s="81"/>
      <c r="C544" s="7" t="s">
        <v>77</v>
      </c>
      <c r="D544" s="7"/>
      <c r="E544" s="3" t="s">
        <v>78</v>
      </c>
      <c r="F544" s="130">
        <v>1057.2</v>
      </c>
      <c r="G544" s="146">
        <f>G545</f>
        <v>-119.96</v>
      </c>
      <c r="H544" s="130">
        <f>SUM(F544:G544)</f>
        <v>937.24</v>
      </c>
      <c r="I544" s="130">
        <f>I545</f>
        <v>-90</v>
      </c>
      <c r="J544" s="130">
        <f>SUM(H544:I544)</f>
        <v>847.24</v>
      </c>
      <c r="K544" s="130">
        <v>1099.5</v>
      </c>
      <c r="L544" s="130"/>
      <c r="M544" s="130">
        <v>1099.5</v>
      </c>
      <c r="N544" s="130">
        <v>1143.5</v>
      </c>
      <c r="O544" s="130"/>
      <c r="P544" s="130">
        <v>1143.5</v>
      </c>
    </row>
    <row r="545" spans="1:25" ht="27" x14ac:dyDescent="0.3">
      <c r="A545" s="81"/>
      <c r="B545" s="81"/>
      <c r="C545" s="7"/>
      <c r="D545" s="7" t="s">
        <v>608</v>
      </c>
      <c r="E545" s="3" t="s">
        <v>609</v>
      </c>
      <c r="F545" s="130">
        <v>1057.2</v>
      </c>
      <c r="G545" s="146">
        <v>-119.96</v>
      </c>
      <c r="H545" s="130">
        <f>SUM(F545:G545)</f>
        <v>937.24</v>
      </c>
      <c r="I545" s="130">
        <v>-90</v>
      </c>
      <c r="J545" s="130">
        <f>SUM(H545:I545)</f>
        <v>847.24</v>
      </c>
      <c r="K545" s="130">
        <v>1099.5</v>
      </c>
      <c r="L545" s="130"/>
      <c r="M545" s="130">
        <v>1099.5</v>
      </c>
      <c r="N545" s="130">
        <v>1143.5</v>
      </c>
      <c r="O545" s="130"/>
      <c r="P545" s="130">
        <v>1143.5</v>
      </c>
    </row>
    <row r="546" spans="1:25" ht="40.15" x14ac:dyDescent="0.3">
      <c r="A546" s="36"/>
      <c r="B546" s="36"/>
      <c r="C546" s="36" t="s">
        <v>81</v>
      </c>
      <c r="D546" s="36"/>
      <c r="E546" s="37" t="s">
        <v>82</v>
      </c>
      <c r="F546" s="131">
        <f>F547</f>
        <v>1167.7</v>
      </c>
      <c r="G546" s="131"/>
      <c r="H546" s="131">
        <f t="shared" ref="H546:P547" si="123">H547</f>
        <v>1167.7</v>
      </c>
      <c r="I546" s="131"/>
      <c r="J546" s="131">
        <f t="shared" si="123"/>
        <v>1167.7</v>
      </c>
      <c r="K546" s="131">
        <f t="shared" si="123"/>
        <v>1213</v>
      </c>
      <c r="L546" s="131"/>
      <c r="M546" s="131">
        <f t="shared" si="123"/>
        <v>1213</v>
      </c>
      <c r="N546" s="131">
        <f t="shared" si="123"/>
        <v>1261.5</v>
      </c>
      <c r="O546" s="131"/>
      <c r="P546" s="131">
        <f t="shared" si="123"/>
        <v>1261.5</v>
      </c>
    </row>
    <row r="547" spans="1:25" ht="14.45" x14ac:dyDescent="0.3">
      <c r="A547" s="81"/>
      <c r="B547" s="81"/>
      <c r="C547" s="7" t="s">
        <v>83</v>
      </c>
      <c r="D547" s="7"/>
      <c r="E547" s="9" t="s">
        <v>84</v>
      </c>
      <c r="F547" s="130">
        <f>F548</f>
        <v>1167.7</v>
      </c>
      <c r="G547" s="130"/>
      <c r="H547" s="130">
        <f t="shared" si="123"/>
        <v>1167.7</v>
      </c>
      <c r="I547" s="130"/>
      <c r="J547" s="130">
        <f t="shared" si="123"/>
        <v>1167.7</v>
      </c>
      <c r="K547" s="130">
        <f t="shared" si="123"/>
        <v>1213</v>
      </c>
      <c r="L547" s="130"/>
      <c r="M547" s="130">
        <f t="shared" si="123"/>
        <v>1213</v>
      </c>
      <c r="N547" s="130">
        <f t="shared" si="123"/>
        <v>1261.5</v>
      </c>
      <c r="O547" s="130"/>
      <c r="P547" s="130">
        <f t="shared" si="123"/>
        <v>1261.5</v>
      </c>
    </row>
    <row r="548" spans="1:25" ht="27" x14ac:dyDescent="0.3">
      <c r="A548" s="81"/>
      <c r="B548" s="81"/>
      <c r="C548" s="7"/>
      <c r="D548" s="7" t="s">
        <v>608</v>
      </c>
      <c r="E548" s="3" t="s">
        <v>609</v>
      </c>
      <c r="F548" s="130">
        <v>1167.7</v>
      </c>
      <c r="G548" s="130"/>
      <c r="H548" s="130">
        <v>1167.7</v>
      </c>
      <c r="I548" s="130"/>
      <c r="J548" s="130">
        <v>1167.7</v>
      </c>
      <c r="K548" s="130">
        <v>1213</v>
      </c>
      <c r="L548" s="130"/>
      <c r="M548" s="130">
        <v>1213</v>
      </c>
      <c r="N548" s="130">
        <v>1261.5</v>
      </c>
      <c r="O548" s="130"/>
      <c r="P548" s="130">
        <v>1261.5</v>
      </c>
    </row>
    <row r="549" spans="1:25" ht="14.45" x14ac:dyDescent="0.3">
      <c r="A549" s="34"/>
      <c r="B549" s="34"/>
      <c r="C549" s="34" t="s">
        <v>148</v>
      </c>
      <c r="D549" s="34"/>
      <c r="E549" s="35" t="s">
        <v>149</v>
      </c>
      <c r="F549" s="139">
        <f>F550</f>
        <v>999.4</v>
      </c>
      <c r="G549" s="139"/>
      <c r="H549" s="139">
        <f t="shared" ref="H549:P551" si="124">H550</f>
        <v>999.4</v>
      </c>
      <c r="I549" s="139">
        <f t="shared" si="124"/>
        <v>-11.950609999999999</v>
      </c>
      <c r="J549" s="139">
        <f t="shared" si="124"/>
        <v>987.44938999999999</v>
      </c>
      <c r="K549" s="139">
        <f t="shared" si="124"/>
        <v>852.4</v>
      </c>
      <c r="L549" s="139"/>
      <c r="M549" s="139">
        <f t="shared" si="124"/>
        <v>852.4</v>
      </c>
      <c r="N549" s="139">
        <f t="shared" si="124"/>
        <v>778.9</v>
      </c>
      <c r="O549" s="139"/>
      <c r="P549" s="139">
        <f t="shared" si="124"/>
        <v>778.9</v>
      </c>
    </row>
    <row r="550" spans="1:25" ht="27" x14ac:dyDescent="0.3">
      <c r="A550" s="36"/>
      <c r="B550" s="36"/>
      <c r="C550" s="36" t="s">
        <v>156</v>
      </c>
      <c r="D550" s="36"/>
      <c r="E550" s="37" t="s">
        <v>157</v>
      </c>
      <c r="F550" s="131">
        <f>F551</f>
        <v>999.4</v>
      </c>
      <c r="G550" s="131"/>
      <c r="H550" s="131">
        <f t="shared" si="124"/>
        <v>999.4</v>
      </c>
      <c r="I550" s="131">
        <f t="shared" si="124"/>
        <v>-11.950609999999999</v>
      </c>
      <c r="J550" s="131">
        <f t="shared" si="124"/>
        <v>987.44938999999999</v>
      </c>
      <c r="K550" s="131">
        <f t="shared" si="124"/>
        <v>852.4</v>
      </c>
      <c r="L550" s="131"/>
      <c r="M550" s="131">
        <f t="shared" si="124"/>
        <v>852.4</v>
      </c>
      <c r="N550" s="131">
        <f t="shared" si="124"/>
        <v>778.9</v>
      </c>
      <c r="O550" s="131"/>
      <c r="P550" s="131">
        <f t="shared" si="124"/>
        <v>778.9</v>
      </c>
    </row>
    <row r="551" spans="1:25" ht="27" x14ac:dyDescent="0.3">
      <c r="A551" s="7"/>
      <c r="B551" s="7"/>
      <c r="C551" s="7" t="s">
        <v>158</v>
      </c>
      <c r="D551" s="7"/>
      <c r="E551" s="3" t="s">
        <v>159</v>
      </c>
      <c r="F551" s="130">
        <f>F552</f>
        <v>999.4</v>
      </c>
      <c r="G551" s="130"/>
      <c r="H551" s="130">
        <f t="shared" si="124"/>
        <v>999.4</v>
      </c>
      <c r="I551" s="130">
        <f t="shared" si="124"/>
        <v>-11.950609999999999</v>
      </c>
      <c r="J551" s="130">
        <f t="shared" si="124"/>
        <v>987.44938999999999</v>
      </c>
      <c r="K551" s="130">
        <f t="shared" si="124"/>
        <v>852.4</v>
      </c>
      <c r="L551" s="130"/>
      <c r="M551" s="130">
        <f t="shared" si="124"/>
        <v>852.4</v>
      </c>
      <c r="N551" s="130">
        <f t="shared" si="124"/>
        <v>778.9</v>
      </c>
      <c r="O551" s="130"/>
      <c r="P551" s="130">
        <f t="shared" si="124"/>
        <v>778.9</v>
      </c>
    </row>
    <row r="552" spans="1:25" ht="27" x14ac:dyDescent="0.3">
      <c r="A552" s="7"/>
      <c r="B552" s="7"/>
      <c r="C552" s="7"/>
      <c r="D552" s="46" t="s">
        <v>608</v>
      </c>
      <c r="E552" s="47" t="s">
        <v>609</v>
      </c>
      <c r="F552" s="130">
        <v>999.4</v>
      </c>
      <c r="G552" s="130"/>
      <c r="H552" s="130">
        <v>999.4</v>
      </c>
      <c r="I552" s="130">
        <v>-11.950609999999999</v>
      </c>
      <c r="J552" s="130">
        <f>SUM(H552:I552)</f>
        <v>987.44938999999999</v>
      </c>
      <c r="K552" s="130">
        <v>852.4</v>
      </c>
      <c r="L552" s="130"/>
      <c r="M552" s="130">
        <v>852.4</v>
      </c>
      <c r="N552" s="130">
        <v>778.9</v>
      </c>
      <c r="O552" s="130"/>
      <c r="P552" s="130">
        <v>778.9</v>
      </c>
    </row>
    <row r="553" spans="1:25" ht="27" x14ac:dyDescent="0.3">
      <c r="A553" s="34"/>
      <c r="B553" s="34"/>
      <c r="C553" s="34" t="s">
        <v>164</v>
      </c>
      <c r="D553" s="34"/>
      <c r="E553" s="35" t="s">
        <v>165</v>
      </c>
      <c r="F553" s="139">
        <f>F554</f>
        <v>2707.8690000000001</v>
      </c>
      <c r="G553" s="139">
        <f>G554</f>
        <v>483.6</v>
      </c>
      <c r="H553" s="139">
        <f>H554</f>
        <v>3191.4690000000001</v>
      </c>
      <c r="I553" s="139"/>
      <c r="J553" s="139">
        <f>J554</f>
        <v>3191.4690000000001</v>
      </c>
      <c r="K553" s="139">
        <f>K554</f>
        <v>0</v>
      </c>
      <c r="L553" s="139"/>
      <c r="M553" s="139">
        <f>M554</f>
        <v>0</v>
      </c>
      <c r="N553" s="139">
        <f>N554</f>
        <v>0</v>
      </c>
      <c r="O553" s="139"/>
      <c r="P553" s="139">
        <f>P554</f>
        <v>0</v>
      </c>
    </row>
    <row r="554" spans="1:25" ht="40.15" x14ac:dyDescent="0.3">
      <c r="A554" s="39"/>
      <c r="B554" s="39"/>
      <c r="C554" s="39" t="s">
        <v>166</v>
      </c>
      <c r="D554" s="39"/>
      <c r="E554" s="37" t="s">
        <v>167</v>
      </c>
      <c r="F554" s="131">
        <f>F555</f>
        <v>2707.8690000000001</v>
      </c>
      <c r="G554" s="131">
        <f>G555+G559</f>
        <v>483.6</v>
      </c>
      <c r="H554" s="131">
        <f>H555+H559</f>
        <v>3191.4690000000001</v>
      </c>
      <c r="I554" s="131"/>
      <c r="J554" s="131">
        <f>J555+J559</f>
        <v>3191.4690000000001</v>
      </c>
      <c r="K554" s="131">
        <f>K555</f>
        <v>0</v>
      </c>
      <c r="L554" s="131"/>
      <c r="M554" s="131">
        <f>M555</f>
        <v>0</v>
      </c>
      <c r="N554" s="131">
        <f>N555</f>
        <v>0</v>
      </c>
      <c r="O554" s="131"/>
      <c r="P554" s="131">
        <f>P555</f>
        <v>0</v>
      </c>
    </row>
    <row r="555" spans="1:25" ht="27" x14ac:dyDescent="0.3">
      <c r="A555" s="81"/>
      <c r="B555" s="81"/>
      <c r="C555" s="7" t="s">
        <v>168</v>
      </c>
      <c r="D555" s="7"/>
      <c r="E555" s="3" t="s">
        <v>169</v>
      </c>
      <c r="F555" s="130">
        <f>F557+F558</f>
        <v>2707.8690000000001</v>
      </c>
      <c r="G555" s="130"/>
      <c r="H555" s="130">
        <f>H557+H558</f>
        <v>2707.8690000000001</v>
      </c>
      <c r="I555" s="130"/>
      <c r="J555" s="130">
        <f>J557+J558</f>
        <v>2707.8690000000001</v>
      </c>
      <c r="K555" s="130">
        <v>0</v>
      </c>
      <c r="L555" s="130"/>
      <c r="M555" s="130">
        <v>0</v>
      </c>
      <c r="N555" s="130">
        <v>0</v>
      </c>
      <c r="O555" s="130"/>
      <c r="P555" s="130">
        <v>0</v>
      </c>
    </row>
    <row r="556" spans="1:25" ht="27" x14ac:dyDescent="0.3">
      <c r="A556" s="81"/>
      <c r="B556" s="81"/>
      <c r="C556" s="7"/>
      <c r="D556" s="7" t="s">
        <v>608</v>
      </c>
      <c r="E556" s="3" t="s">
        <v>609</v>
      </c>
      <c r="F556" s="130">
        <f>F557+F558</f>
        <v>2707.8690000000001</v>
      </c>
      <c r="G556" s="130"/>
      <c r="H556" s="130">
        <f>H557+H558</f>
        <v>2707.8690000000001</v>
      </c>
      <c r="I556" s="130"/>
      <c r="J556" s="130">
        <f>J557+J558</f>
        <v>2707.8690000000001</v>
      </c>
      <c r="K556" s="130">
        <v>0</v>
      </c>
      <c r="L556" s="130"/>
      <c r="M556" s="130">
        <v>0</v>
      </c>
      <c r="N556" s="130">
        <v>0</v>
      </c>
      <c r="O556" s="130"/>
      <c r="P556" s="130">
        <v>0</v>
      </c>
      <c r="V556" s="48"/>
      <c r="W556" s="48"/>
      <c r="X556" s="48"/>
      <c r="Y556" s="48"/>
    </row>
    <row r="557" spans="1:25" ht="14.45" x14ac:dyDescent="0.3">
      <c r="A557" s="81"/>
      <c r="B557" s="81"/>
      <c r="C557" s="7"/>
      <c r="D557" s="7"/>
      <c r="E557" s="3" t="s">
        <v>170</v>
      </c>
      <c r="F557" s="130">
        <v>2030.902</v>
      </c>
      <c r="G557" s="130"/>
      <c r="H557" s="130">
        <v>2030.902</v>
      </c>
      <c r="I557" s="130"/>
      <c r="J557" s="130">
        <v>2030.902</v>
      </c>
      <c r="K557" s="130">
        <v>0</v>
      </c>
      <c r="L557" s="130"/>
      <c r="M557" s="130">
        <v>0</v>
      </c>
      <c r="N557" s="130">
        <v>0</v>
      </c>
      <c r="O557" s="130"/>
      <c r="P557" s="130">
        <v>0</v>
      </c>
      <c r="V557" s="49"/>
      <c r="W557" s="49"/>
    </row>
    <row r="558" spans="1:25" ht="14.45" x14ac:dyDescent="0.3">
      <c r="A558" s="81"/>
      <c r="B558" s="81"/>
      <c r="C558" s="7"/>
      <c r="D558" s="7"/>
      <c r="E558" s="3" t="s">
        <v>171</v>
      </c>
      <c r="F558" s="130">
        <v>676.96699999999998</v>
      </c>
      <c r="G558" s="130"/>
      <c r="H558" s="130">
        <v>676.96699999999998</v>
      </c>
      <c r="I558" s="130"/>
      <c r="J558" s="130">
        <v>676.96699999999998</v>
      </c>
      <c r="K558" s="130">
        <v>0</v>
      </c>
      <c r="L558" s="130"/>
      <c r="M558" s="130">
        <v>0</v>
      </c>
      <c r="N558" s="130">
        <v>0</v>
      </c>
      <c r="O558" s="130"/>
      <c r="P558" s="130">
        <v>0</v>
      </c>
      <c r="R558" s="45"/>
      <c r="V558" s="296"/>
      <c r="W558" s="296"/>
      <c r="X558" s="296"/>
      <c r="Y558" s="296"/>
    </row>
    <row r="559" spans="1:25" ht="25.5" x14ac:dyDescent="0.25">
      <c r="A559" s="81"/>
      <c r="B559" s="81"/>
      <c r="C559" s="4" t="s">
        <v>178</v>
      </c>
      <c r="D559" s="4"/>
      <c r="E559" s="6" t="s">
        <v>179</v>
      </c>
      <c r="F559" s="130"/>
      <c r="G559" s="146">
        <f>G560</f>
        <v>483.6</v>
      </c>
      <c r="H559" s="130">
        <f>H560</f>
        <v>483.6</v>
      </c>
      <c r="I559" s="130"/>
      <c r="J559" s="130">
        <f>J560</f>
        <v>483.6</v>
      </c>
      <c r="K559" s="130"/>
      <c r="L559" s="130"/>
      <c r="M559" s="130">
        <v>0</v>
      </c>
      <c r="N559" s="130"/>
      <c r="O559" s="130"/>
      <c r="P559" s="130">
        <v>0</v>
      </c>
      <c r="R559" s="45"/>
      <c r="V559" s="133"/>
      <c r="W559" s="133"/>
      <c r="X559" s="133"/>
      <c r="Y559" s="133"/>
    </row>
    <row r="560" spans="1:25" ht="26.25" x14ac:dyDescent="0.25">
      <c r="A560" s="81"/>
      <c r="B560" s="81"/>
      <c r="C560" s="4"/>
      <c r="D560" s="7" t="s">
        <v>608</v>
      </c>
      <c r="E560" s="3" t="s">
        <v>609</v>
      </c>
      <c r="F560" s="130"/>
      <c r="G560" s="146">
        <v>483.6</v>
      </c>
      <c r="H560" s="130">
        <v>483.6</v>
      </c>
      <c r="I560" s="130"/>
      <c r="J560" s="130">
        <v>483.6</v>
      </c>
      <c r="K560" s="130"/>
      <c r="L560" s="130"/>
      <c r="M560" s="130"/>
      <c r="N560" s="130"/>
      <c r="O560" s="130"/>
      <c r="P560" s="130">
        <v>0</v>
      </c>
      <c r="R560" s="45"/>
      <c r="V560" s="133"/>
      <c r="W560" s="133"/>
      <c r="X560" s="133"/>
      <c r="Y560" s="133"/>
    </row>
    <row r="561" spans="1:16" ht="14.45" x14ac:dyDescent="0.3">
      <c r="A561" s="80"/>
      <c r="B561" s="18" t="s">
        <v>669</v>
      </c>
      <c r="C561" s="86"/>
      <c r="D561" s="85"/>
      <c r="E561" s="87" t="s">
        <v>670</v>
      </c>
      <c r="F561" s="137">
        <f>F562</f>
        <v>248072.84100000004</v>
      </c>
      <c r="G561" s="137">
        <f>G562+G620</f>
        <v>2386.06</v>
      </c>
      <c r="H561" s="137">
        <f>H562+H620</f>
        <v>251547.12372000003</v>
      </c>
      <c r="I561" s="137">
        <f>I562+I620</f>
        <v>338.76027999999997</v>
      </c>
      <c r="J561" s="137">
        <f>J562+J620</f>
        <v>251885.88399999999</v>
      </c>
      <c r="K561" s="137">
        <f>K562</f>
        <v>252551.40000000002</v>
      </c>
      <c r="L561" s="137"/>
      <c r="M561" s="137">
        <f>M562</f>
        <v>252551.40000000002</v>
      </c>
      <c r="N561" s="137">
        <f>N562</f>
        <v>250184.80000000005</v>
      </c>
      <c r="O561" s="137"/>
      <c r="P561" s="137">
        <f>P562</f>
        <v>250184.80000000005</v>
      </c>
    </row>
    <row r="562" spans="1:16" ht="26.45" x14ac:dyDescent="0.3">
      <c r="A562" s="80"/>
      <c r="B562" s="18"/>
      <c r="C562" s="86" t="s">
        <v>6</v>
      </c>
      <c r="D562" s="85"/>
      <c r="E562" s="90" t="s">
        <v>7</v>
      </c>
      <c r="F562" s="137">
        <f>F563+F612</f>
        <v>248072.84100000004</v>
      </c>
      <c r="G562" s="137">
        <f>G563+G612</f>
        <v>2256.56</v>
      </c>
      <c r="H562" s="137">
        <f>H563+H612</f>
        <v>251417.62372000003</v>
      </c>
      <c r="I562" s="137">
        <f>I563+I612</f>
        <v>353.36027999999999</v>
      </c>
      <c r="J562" s="137">
        <f>J563+J612</f>
        <v>251770.984</v>
      </c>
      <c r="K562" s="137">
        <f>K563</f>
        <v>252551.40000000002</v>
      </c>
      <c r="L562" s="137"/>
      <c r="M562" s="137">
        <f>M563</f>
        <v>252551.40000000002</v>
      </c>
      <c r="N562" s="137">
        <f>N563</f>
        <v>250184.80000000005</v>
      </c>
      <c r="O562" s="137"/>
      <c r="P562" s="137">
        <f>P563</f>
        <v>250184.80000000005</v>
      </c>
    </row>
    <row r="563" spans="1:16" ht="26.45" x14ac:dyDescent="0.3">
      <c r="A563" s="93"/>
      <c r="B563" s="94"/>
      <c r="C563" s="95" t="s">
        <v>65</v>
      </c>
      <c r="D563" s="94"/>
      <c r="E563" s="96" t="s">
        <v>66</v>
      </c>
      <c r="F563" s="138">
        <f t="shared" ref="F563:K563" si="125">F564+F587+F591</f>
        <v>247472.85000000003</v>
      </c>
      <c r="G563" s="138">
        <f t="shared" si="125"/>
        <v>2256.56</v>
      </c>
      <c r="H563" s="138">
        <f t="shared" si="125"/>
        <v>250817.63272000002</v>
      </c>
      <c r="I563" s="138">
        <f t="shared" si="125"/>
        <v>353.36027999999999</v>
      </c>
      <c r="J563" s="138">
        <f t="shared" si="125"/>
        <v>251170.99299999999</v>
      </c>
      <c r="K563" s="138">
        <f t="shared" si="125"/>
        <v>252551.40000000002</v>
      </c>
      <c r="L563" s="138"/>
      <c r="M563" s="138">
        <f>M564+M587+M591</f>
        <v>252551.40000000002</v>
      </c>
      <c r="N563" s="138">
        <f>N564+N587+N591</f>
        <v>250184.80000000005</v>
      </c>
      <c r="O563" s="138"/>
      <c r="P563" s="138">
        <f>P564+P587+P591</f>
        <v>250184.80000000005</v>
      </c>
    </row>
    <row r="564" spans="1:16" ht="14.45" x14ac:dyDescent="0.3">
      <c r="A564" s="34"/>
      <c r="B564" s="34"/>
      <c r="C564" s="34" t="s">
        <v>85</v>
      </c>
      <c r="D564" s="34"/>
      <c r="E564" s="35" t="s">
        <v>86</v>
      </c>
      <c r="F564" s="139">
        <f t="shared" ref="F564:K564" si="126">F565+F574</f>
        <v>240417.40000000002</v>
      </c>
      <c r="G564" s="139">
        <f t="shared" si="126"/>
        <v>200.06</v>
      </c>
      <c r="H564" s="139">
        <f t="shared" si="126"/>
        <v>240408.78672000003</v>
      </c>
      <c r="I564" s="139">
        <f t="shared" si="126"/>
        <v>-36.5</v>
      </c>
      <c r="J564" s="139">
        <f t="shared" si="126"/>
        <v>240372.28671999997</v>
      </c>
      <c r="K564" s="139">
        <f t="shared" si="126"/>
        <v>240301.60000000003</v>
      </c>
      <c r="L564" s="139"/>
      <c r="M564" s="139">
        <f>M565+M574</f>
        <v>240301.60000000003</v>
      </c>
      <c r="N564" s="139">
        <f>N565+N574</f>
        <v>234800.30000000005</v>
      </c>
      <c r="O564" s="139"/>
      <c r="P564" s="139">
        <f>P565+P574</f>
        <v>234800.30000000005</v>
      </c>
    </row>
    <row r="565" spans="1:16" ht="40.15" x14ac:dyDescent="0.3">
      <c r="A565" s="36"/>
      <c r="B565" s="36"/>
      <c r="C565" s="36" t="s">
        <v>87</v>
      </c>
      <c r="D565" s="36"/>
      <c r="E565" s="37" t="s">
        <v>88</v>
      </c>
      <c r="F565" s="131">
        <f t="shared" ref="F565:K565" si="127">F566+F568+F570</f>
        <v>206037.90000000002</v>
      </c>
      <c r="G565" s="131">
        <f t="shared" si="127"/>
        <v>0</v>
      </c>
      <c r="H565" s="131">
        <f t="shared" si="127"/>
        <v>205790.40000000002</v>
      </c>
      <c r="I565" s="131">
        <f>I566+I568+I570</f>
        <v>-36.5</v>
      </c>
      <c r="J565" s="131">
        <f t="shared" si="127"/>
        <v>205753.9</v>
      </c>
      <c r="K565" s="131">
        <f t="shared" si="127"/>
        <v>207179.60000000003</v>
      </c>
      <c r="L565" s="131"/>
      <c r="M565" s="131">
        <f>M566+M568+M570</f>
        <v>207179.60000000003</v>
      </c>
      <c r="N565" s="131">
        <f>N566+N568+N570</f>
        <v>203819.10000000003</v>
      </c>
      <c r="O565" s="131"/>
      <c r="P565" s="131">
        <f>P566+P568+P570</f>
        <v>203819.10000000003</v>
      </c>
    </row>
    <row r="566" spans="1:16" ht="27" x14ac:dyDescent="0.3">
      <c r="A566" s="81"/>
      <c r="B566" s="81"/>
      <c r="C566" s="7" t="s">
        <v>89</v>
      </c>
      <c r="D566" s="13"/>
      <c r="E566" s="3" t="s">
        <v>90</v>
      </c>
      <c r="F566" s="130">
        <f>33832.3-745.6</f>
        <v>33086.700000000004</v>
      </c>
      <c r="G566" s="130"/>
      <c r="H566" s="130">
        <f>H567</f>
        <v>32839.199999999997</v>
      </c>
      <c r="I566" s="130">
        <f>I567</f>
        <v>-69.7</v>
      </c>
      <c r="J566" s="130">
        <f>J567</f>
        <v>32769.5</v>
      </c>
      <c r="K566" s="130">
        <f>34916.1-1321.9</f>
        <v>33594.199999999997</v>
      </c>
      <c r="L566" s="130"/>
      <c r="M566" s="130">
        <f>34916.1-1321.9</f>
        <v>33594.199999999997</v>
      </c>
      <c r="N566" s="130">
        <f>36046.7-2251</f>
        <v>33795.699999999997</v>
      </c>
      <c r="O566" s="130"/>
      <c r="P566" s="130">
        <f>36046.7-2251</f>
        <v>33795.699999999997</v>
      </c>
    </row>
    <row r="567" spans="1:16" ht="27" x14ac:dyDescent="0.3">
      <c r="A567" s="81"/>
      <c r="B567" s="81"/>
      <c r="C567" s="7"/>
      <c r="D567" s="7" t="s">
        <v>608</v>
      </c>
      <c r="E567" s="3" t="s">
        <v>609</v>
      </c>
      <c r="F567" s="130">
        <v>33086.700000000004</v>
      </c>
      <c r="G567" s="130"/>
      <c r="H567" s="130">
        <v>32839.199999999997</v>
      </c>
      <c r="I567" s="146">
        <v>-69.7</v>
      </c>
      <c r="J567" s="130">
        <f>SUM(H567:I567)</f>
        <v>32769.5</v>
      </c>
      <c r="K567" s="130">
        <v>33594.199999999997</v>
      </c>
      <c r="L567" s="130"/>
      <c r="M567" s="130">
        <v>33594.199999999997</v>
      </c>
      <c r="N567" s="130">
        <v>33795.699999999997</v>
      </c>
      <c r="O567" s="130"/>
      <c r="P567" s="130">
        <v>33795.699999999997</v>
      </c>
    </row>
    <row r="568" spans="1:16" ht="53.45" x14ac:dyDescent="0.3">
      <c r="A568" s="81"/>
      <c r="B568" s="81"/>
      <c r="C568" s="7" t="s">
        <v>91</v>
      </c>
      <c r="D568" s="7"/>
      <c r="E568" s="3" t="s">
        <v>92</v>
      </c>
      <c r="F568" s="130">
        <f>F569</f>
        <v>167462</v>
      </c>
      <c r="G568" s="130">
        <f>G569</f>
        <v>0</v>
      </c>
      <c r="H568" s="130">
        <f>H569</f>
        <v>167462</v>
      </c>
      <c r="I568" s="130"/>
      <c r="J568" s="130">
        <f>J569</f>
        <v>167462</v>
      </c>
      <c r="K568" s="130">
        <f>K569</f>
        <v>168096.2</v>
      </c>
      <c r="L568" s="130"/>
      <c r="M568" s="130">
        <f>M569</f>
        <v>168096.2</v>
      </c>
      <c r="N568" s="130">
        <f>N569</f>
        <v>164534.20000000001</v>
      </c>
      <c r="O568" s="130"/>
      <c r="P568" s="130">
        <f>P569</f>
        <v>164534.20000000001</v>
      </c>
    </row>
    <row r="569" spans="1:16" ht="27" x14ac:dyDescent="0.3">
      <c r="A569" s="81"/>
      <c r="B569" s="81"/>
      <c r="C569" s="7"/>
      <c r="D569" s="7" t="s">
        <v>608</v>
      </c>
      <c r="E569" s="3" t="s">
        <v>609</v>
      </c>
      <c r="F569" s="130">
        <f>167503.7-41.7</f>
        <v>167462</v>
      </c>
      <c r="G569" s="130"/>
      <c r="H569" s="130">
        <f>167503.7-41.7+G569</f>
        <v>167462</v>
      </c>
      <c r="I569" s="130"/>
      <c r="J569" s="130">
        <f>167503.7-41.7+I569</f>
        <v>167462</v>
      </c>
      <c r="K569" s="146">
        <f>168138.5-42.3</f>
        <v>168096.2</v>
      </c>
      <c r="L569" s="146"/>
      <c r="M569" s="146">
        <f>168138.5-42.3</f>
        <v>168096.2</v>
      </c>
      <c r="N569" s="146">
        <f>164576.7-42.5</f>
        <v>164534.20000000001</v>
      </c>
      <c r="O569" s="146"/>
      <c r="P569" s="146">
        <f>164576.7-42.5</f>
        <v>164534.20000000001</v>
      </c>
    </row>
    <row r="570" spans="1:16" ht="72.75" customHeight="1" x14ac:dyDescent="0.3">
      <c r="A570" s="81"/>
      <c r="B570" s="81"/>
      <c r="C570" s="7" t="s">
        <v>93</v>
      </c>
      <c r="D570" s="7"/>
      <c r="E570" s="3" t="s">
        <v>94</v>
      </c>
      <c r="F570" s="145">
        <f>F572+F573</f>
        <v>5489.2</v>
      </c>
      <c r="G570" s="145"/>
      <c r="H570" s="145">
        <f>H572+H573</f>
        <v>5489.2</v>
      </c>
      <c r="I570" s="145">
        <v>33.200000000000003</v>
      </c>
      <c r="J570" s="145">
        <f>J572+J573</f>
        <v>5522.4</v>
      </c>
      <c r="K570" s="145">
        <f>K572+K573</f>
        <v>5489.2</v>
      </c>
      <c r="L570" s="145"/>
      <c r="M570" s="145">
        <f>M572+M573</f>
        <v>5489.2</v>
      </c>
      <c r="N570" s="145">
        <f>N572+N573</f>
        <v>5489.2</v>
      </c>
      <c r="O570" s="145"/>
      <c r="P570" s="145">
        <f>P572+P573</f>
        <v>5489.2</v>
      </c>
    </row>
    <row r="571" spans="1:16" ht="27" x14ac:dyDescent="0.3">
      <c r="A571" s="81"/>
      <c r="B571" s="81"/>
      <c r="C571" s="7"/>
      <c r="D571" s="7" t="s">
        <v>608</v>
      </c>
      <c r="E571" s="3" t="s">
        <v>609</v>
      </c>
      <c r="F571" s="145">
        <v>5489.2</v>
      </c>
      <c r="G571" s="145"/>
      <c r="H571" s="145">
        <v>5489.2</v>
      </c>
      <c r="I571" s="145">
        <v>33.200000000000003</v>
      </c>
      <c r="J571" s="145">
        <v>5489.2</v>
      </c>
      <c r="K571" s="145">
        <v>5489.2</v>
      </c>
      <c r="L571" s="145"/>
      <c r="M571" s="145">
        <v>5489.2</v>
      </c>
      <c r="N571" s="145">
        <v>5489.2</v>
      </c>
      <c r="O571" s="145"/>
      <c r="P571" s="145">
        <v>5489.2</v>
      </c>
    </row>
    <row r="572" spans="1:16" ht="14.45" x14ac:dyDescent="0.3">
      <c r="A572" s="81"/>
      <c r="B572" s="81"/>
      <c r="C572" s="7"/>
      <c r="D572" s="7"/>
      <c r="E572" s="3" t="s">
        <v>95</v>
      </c>
      <c r="F572" s="130">
        <v>5077.5</v>
      </c>
      <c r="G572" s="130"/>
      <c r="H572" s="130">
        <v>5077.5</v>
      </c>
      <c r="I572" s="130"/>
      <c r="J572" s="130">
        <v>5077.5</v>
      </c>
      <c r="K572" s="130">
        <v>5077.5</v>
      </c>
      <c r="L572" s="130"/>
      <c r="M572" s="130">
        <v>5077.5</v>
      </c>
      <c r="N572" s="130">
        <v>5077.5</v>
      </c>
      <c r="O572" s="130"/>
      <c r="P572" s="130">
        <v>5077.5</v>
      </c>
    </row>
    <row r="573" spans="1:16" ht="14.45" x14ac:dyDescent="0.3">
      <c r="A573" s="81"/>
      <c r="B573" s="81"/>
      <c r="C573" s="7"/>
      <c r="D573" s="7"/>
      <c r="E573" s="3" t="s">
        <v>96</v>
      </c>
      <c r="F573" s="130">
        <v>411.7</v>
      </c>
      <c r="G573" s="130"/>
      <c r="H573" s="130">
        <v>411.7</v>
      </c>
      <c r="I573" s="130">
        <v>33.200000000000003</v>
      </c>
      <c r="J573" s="130">
        <f>SUM(H573:I573)</f>
        <v>444.9</v>
      </c>
      <c r="K573" s="130">
        <v>411.7</v>
      </c>
      <c r="L573" s="130"/>
      <c r="M573" s="130">
        <v>411.7</v>
      </c>
      <c r="N573" s="130">
        <v>411.7</v>
      </c>
      <c r="O573" s="130"/>
      <c r="P573" s="130">
        <v>411.7</v>
      </c>
    </row>
    <row r="574" spans="1:16" ht="40.15" x14ac:dyDescent="0.3">
      <c r="A574" s="36"/>
      <c r="B574" s="36"/>
      <c r="C574" s="36" t="s">
        <v>97</v>
      </c>
      <c r="D574" s="36"/>
      <c r="E574" s="37" t="s">
        <v>98</v>
      </c>
      <c r="F574" s="131">
        <f>F575+F577+F579+F581+F583+F585</f>
        <v>34379.5</v>
      </c>
      <c r="G574" s="131">
        <f>G575+G577+G579</f>
        <v>200.06</v>
      </c>
      <c r="H574" s="131">
        <f>H575+H577+H579+H581+H583+H585</f>
        <v>34618.386719999995</v>
      </c>
      <c r="I574" s="131">
        <f>I575+I577+I579+I581+I583+I585</f>
        <v>0</v>
      </c>
      <c r="J574" s="131">
        <f>J575+J577+J579+J581+J583+J585</f>
        <v>34618.386719999995</v>
      </c>
      <c r="K574" s="131">
        <f>K575+K577+K579+K581+K583+K585</f>
        <v>33122</v>
      </c>
      <c r="L574" s="131"/>
      <c r="M574" s="131">
        <f>M575+M577+M579+M581+M583+M585</f>
        <v>33122</v>
      </c>
      <c r="N574" s="131">
        <f>N575+N577+N579+N581+N583+N585</f>
        <v>30981.200000000004</v>
      </c>
      <c r="O574" s="131"/>
      <c r="P574" s="131">
        <f>P575+P577+P579+P581+P583+P585</f>
        <v>30981.200000000004</v>
      </c>
    </row>
    <row r="575" spans="1:16" ht="27" x14ac:dyDescent="0.3">
      <c r="A575" s="81"/>
      <c r="B575" s="81"/>
      <c r="C575" s="7" t="s">
        <v>99</v>
      </c>
      <c r="D575" s="7"/>
      <c r="E575" s="3" t="s">
        <v>100</v>
      </c>
      <c r="F575" s="130">
        <f t="shared" ref="F575:K575" si="128">F576</f>
        <v>6117.2000000000007</v>
      </c>
      <c r="G575" s="146">
        <f t="shared" si="128"/>
        <v>108.12</v>
      </c>
      <c r="H575" s="130">
        <f t="shared" si="128"/>
        <v>6340.920000000001</v>
      </c>
      <c r="I575" s="130"/>
      <c r="J575" s="130">
        <f t="shared" si="128"/>
        <v>6340.920000000001</v>
      </c>
      <c r="K575" s="130">
        <f t="shared" si="128"/>
        <v>6361.9</v>
      </c>
      <c r="L575" s="130"/>
      <c r="M575" s="130">
        <f>M576</f>
        <v>6361.9</v>
      </c>
      <c r="N575" s="130">
        <f>N576</f>
        <v>6616.4000000000005</v>
      </c>
      <c r="O575" s="130"/>
      <c r="P575" s="130">
        <f>P576</f>
        <v>6616.4000000000005</v>
      </c>
    </row>
    <row r="576" spans="1:16" ht="27" x14ac:dyDescent="0.3">
      <c r="A576" s="81"/>
      <c r="B576" s="81"/>
      <c r="C576" s="7"/>
      <c r="D576" s="7" t="s">
        <v>608</v>
      </c>
      <c r="E576" s="3" t="s">
        <v>609</v>
      </c>
      <c r="F576" s="130">
        <f>7186.8-130.2-834.9-104.5</f>
        <v>6117.2000000000007</v>
      </c>
      <c r="G576" s="146">
        <v>108.12</v>
      </c>
      <c r="H576" s="130">
        <v>6340.920000000001</v>
      </c>
      <c r="I576" s="130"/>
      <c r="J576" s="130">
        <f>SUM(H576:I576)</f>
        <v>6340.920000000001</v>
      </c>
      <c r="K576" s="130">
        <f>7474.2-135.4-868.3-108.6</f>
        <v>6361.9</v>
      </c>
      <c r="L576" s="130"/>
      <c r="M576" s="130">
        <f>7474.2-135.4-868.3-108.6</f>
        <v>6361.9</v>
      </c>
      <c r="N576" s="130">
        <f>7773.2-140.9-903-112.9</f>
        <v>6616.4000000000005</v>
      </c>
      <c r="O576" s="130"/>
      <c r="P576" s="130">
        <f>7773.2-140.9-903-112.9</f>
        <v>6616.4000000000005</v>
      </c>
    </row>
    <row r="577" spans="1:16" ht="40.15" x14ac:dyDescent="0.3">
      <c r="A577" s="81"/>
      <c r="B577" s="81"/>
      <c r="C577" s="7" t="s">
        <v>102</v>
      </c>
      <c r="D577" s="7"/>
      <c r="E577" s="3" t="s">
        <v>103</v>
      </c>
      <c r="F577" s="130">
        <v>225.6</v>
      </c>
      <c r="G577" s="146">
        <f>G578</f>
        <v>11.84</v>
      </c>
      <c r="H577" s="130">
        <f>H578</f>
        <v>237.44</v>
      </c>
      <c r="I577" s="130"/>
      <c r="J577" s="130">
        <f>J578</f>
        <v>237.44</v>
      </c>
      <c r="K577" s="130">
        <v>234.7</v>
      </c>
      <c r="L577" s="130"/>
      <c r="M577" s="130">
        <v>234.7</v>
      </c>
      <c r="N577" s="130">
        <v>244.1</v>
      </c>
      <c r="O577" s="130"/>
      <c r="P577" s="130">
        <v>244.1</v>
      </c>
    </row>
    <row r="578" spans="1:16" ht="27" x14ac:dyDescent="0.3">
      <c r="A578" s="81"/>
      <c r="B578" s="81"/>
      <c r="C578" s="7"/>
      <c r="D578" s="7" t="s">
        <v>608</v>
      </c>
      <c r="E578" s="3" t="s">
        <v>609</v>
      </c>
      <c r="F578" s="130">
        <v>225.6</v>
      </c>
      <c r="G578" s="146">
        <v>11.84</v>
      </c>
      <c r="H578" s="130">
        <f>SUM(F578:G578)</f>
        <v>237.44</v>
      </c>
      <c r="I578" s="130"/>
      <c r="J578" s="130">
        <f>SUM(H578:I578)</f>
        <v>237.44</v>
      </c>
      <c r="K578" s="130">
        <v>234.7</v>
      </c>
      <c r="L578" s="130"/>
      <c r="M578" s="130">
        <v>234.7</v>
      </c>
      <c r="N578" s="130">
        <v>244.1</v>
      </c>
      <c r="O578" s="130"/>
      <c r="P578" s="130">
        <v>244.1</v>
      </c>
    </row>
    <row r="579" spans="1:16" ht="27" x14ac:dyDescent="0.3">
      <c r="A579" s="81"/>
      <c r="B579" s="81"/>
      <c r="C579" s="7" t="s">
        <v>104</v>
      </c>
      <c r="D579" s="7"/>
      <c r="E579" s="3" t="s">
        <v>105</v>
      </c>
      <c r="F579" s="130">
        <v>250.8</v>
      </c>
      <c r="G579" s="146">
        <f>G580</f>
        <v>80.099999999999994</v>
      </c>
      <c r="H579" s="130">
        <f>H580</f>
        <v>254.12671999999998</v>
      </c>
      <c r="I579" s="130"/>
      <c r="J579" s="130">
        <f>J580</f>
        <v>254.12671999999998</v>
      </c>
      <c r="K579" s="130">
        <v>260.8</v>
      </c>
      <c r="L579" s="130"/>
      <c r="M579" s="130">
        <v>260.8</v>
      </c>
      <c r="N579" s="130">
        <v>271.2</v>
      </c>
      <c r="O579" s="130"/>
      <c r="P579" s="130">
        <v>271.2</v>
      </c>
    </row>
    <row r="580" spans="1:16" ht="27" x14ac:dyDescent="0.3">
      <c r="A580" s="81"/>
      <c r="B580" s="81"/>
      <c r="C580" s="7"/>
      <c r="D580" s="7" t="s">
        <v>608</v>
      </c>
      <c r="E580" s="3" t="s">
        <v>609</v>
      </c>
      <c r="F580" s="130">
        <v>250.8</v>
      </c>
      <c r="G580" s="146">
        <v>80.099999999999994</v>
      </c>
      <c r="H580" s="130">
        <v>254.12671999999998</v>
      </c>
      <c r="I580" s="130"/>
      <c r="J580" s="130">
        <f>SUM(H580:I580)</f>
        <v>254.12671999999998</v>
      </c>
      <c r="K580" s="130">
        <v>260.8</v>
      </c>
      <c r="L580" s="130"/>
      <c r="M580" s="130">
        <v>260.8</v>
      </c>
      <c r="N580" s="130">
        <v>271.2</v>
      </c>
      <c r="O580" s="130"/>
      <c r="P580" s="130">
        <v>271.2</v>
      </c>
    </row>
    <row r="581" spans="1:16" ht="40.15" x14ac:dyDescent="0.3">
      <c r="A581" s="81"/>
      <c r="B581" s="81"/>
      <c r="C581" s="7" t="s">
        <v>110</v>
      </c>
      <c r="D581" s="7"/>
      <c r="E581" s="3" t="s">
        <v>111</v>
      </c>
      <c r="F581" s="130">
        <v>12128.1</v>
      </c>
      <c r="G581" s="130"/>
      <c r="H581" s="130">
        <v>12128.1</v>
      </c>
      <c r="I581" s="130"/>
      <c r="J581" s="130">
        <v>12128.1</v>
      </c>
      <c r="K581" s="130">
        <v>12128.1</v>
      </c>
      <c r="L581" s="130"/>
      <c r="M581" s="130">
        <v>12128.1</v>
      </c>
      <c r="N581" s="130">
        <v>12128.1</v>
      </c>
      <c r="O581" s="130"/>
      <c r="P581" s="130">
        <v>12128.1</v>
      </c>
    </row>
    <row r="582" spans="1:16" ht="27" x14ac:dyDescent="0.3">
      <c r="A582" s="81"/>
      <c r="B582" s="81"/>
      <c r="C582" s="7"/>
      <c r="D582" s="7" t="s">
        <v>608</v>
      </c>
      <c r="E582" s="3" t="s">
        <v>609</v>
      </c>
      <c r="F582" s="130">
        <v>12128.1</v>
      </c>
      <c r="G582" s="130"/>
      <c r="H582" s="130">
        <v>12128.1</v>
      </c>
      <c r="I582" s="130"/>
      <c r="J582" s="130">
        <v>12128.1</v>
      </c>
      <c r="K582" s="130">
        <v>12128.1</v>
      </c>
      <c r="L582" s="130"/>
      <c r="M582" s="130">
        <v>12128.1</v>
      </c>
      <c r="N582" s="130">
        <v>12128.1</v>
      </c>
      <c r="O582" s="130"/>
      <c r="P582" s="130">
        <v>12128.1</v>
      </c>
    </row>
    <row r="583" spans="1:16" ht="40.15" x14ac:dyDescent="0.3">
      <c r="A583" s="81"/>
      <c r="B583" s="81"/>
      <c r="C583" s="7" t="s">
        <v>112</v>
      </c>
      <c r="D583" s="7"/>
      <c r="E583" s="3" t="s">
        <v>546</v>
      </c>
      <c r="F583" s="130">
        <v>12157.8</v>
      </c>
      <c r="G583" s="130"/>
      <c r="H583" s="130">
        <v>12157.8</v>
      </c>
      <c r="I583" s="130"/>
      <c r="J583" s="130">
        <v>12157.8</v>
      </c>
      <c r="K583" s="130">
        <v>12003.5</v>
      </c>
      <c r="L583" s="130"/>
      <c r="M583" s="130">
        <v>12003.5</v>
      </c>
      <c r="N583" s="130">
        <v>11721.4</v>
      </c>
      <c r="O583" s="130"/>
      <c r="P583" s="130">
        <v>11721.4</v>
      </c>
    </row>
    <row r="584" spans="1:16" ht="27" x14ac:dyDescent="0.3">
      <c r="A584" s="81"/>
      <c r="B584" s="81"/>
      <c r="C584" s="7"/>
      <c r="D584" s="7" t="s">
        <v>608</v>
      </c>
      <c r="E584" s="3" t="s">
        <v>609</v>
      </c>
      <c r="F584" s="130">
        <v>12157.8</v>
      </c>
      <c r="G584" s="130"/>
      <c r="H584" s="130">
        <v>12157.8</v>
      </c>
      <c r="I584" s="130"/>
      <c r="J584" s="130">
        <v>12157.8</v>
      </c>
      <c r="K584" s="130">
        <v>12003.5</v>
      </c>
      <c r="L584" s="130"/>
      <c r="M584" s="130">
        <v>12003.5</v>
      </c>
      <c r="N584" s="130">
        <v>11721.4</v>
      </c>
      <c r="O584" s="130"/>
      <c r="P584" s="130">
        <v>11721.4</v>
      </c>
    </row>
    <row r="585" spans="1:16" ht="27" x14ac:dyDescent="0.3">
      <c r="A585" s="81"/>
      <c r="B585" s="81"/>
      <c r="C585" s="7" t="s">
        <v>547</v>
      </c>
      <c r="D585" s="7"/>
      <c r="E585" s="3" t="s">
        <v>113</v>
      </c>
      <c r="F585" s="130">
        <v>3500</v>
      </c>
      <c r="G585" s="130"/>
      <c r="H585" s="130">
        <v>3500</v>
      </c>
      <c r="I585" s="130"/>
      <c r="J585" s="130">
        <v>3500</v>
      </c>
      <c r="K585" s="130">
        <v>2133</v>
      </c>
      <c r="L585" s="130"/>
      <c r="M585" s="130">
        <v>2133</v>
      </c>
      <c r="N585" s="130">
        <v>0</v>
      </c>
      <c r="O585" s="130"/>
      <c r="P585" s="130">
        <v>0</v>
      </c>
    </row>
    <row r="586" spans="1:16" ht="27" x14ac:dyDescent="0.3">
      <c r="A586" s="81"/>
      <c r="B586" s="81"/>
      <c r="C586" s="7"/>
      <c r="D586" s="7" t="s">
        <v>608</v>
      </c>
      <c r="E586" s="3" t="s">
        <v>609</v>
      </c>
      <c r="F586" s="130">
        <v>3500</v>
      </c>
      <c r="G586" s="130"/>
      <c r="H586" s="130">
        <v>3500</v>
      </c>
      <c r="I586" s="130"/>
      <c r="J586" s="130">
        <v>3500</v>
      </c>
      <c r="K586" s="130">
        <v>2133</v>
      </c>
      <c r="L586" s="130"/>
      <c r="M586" s="130">
        <v>2133</v>
      </c>
      <c r="N586" s="130">
        <v>0</v>
      </c>
      <c r="O586" s="130"/>
      <c r="P586" s="130">
        <v>0</v>
      </c>
    </row>
    <row r="587" spans="1:16" ht="14.45" x14ac:dyDescent="0.3">
      <c r="A587" s="34"/>
      <c r="B587" s="34"/>
      <c r="C587" s="34" t="s">
        <v>148</v>
      </c>
      <c r="D587" s="34"/>
      <c r="E587" s="35" t="s">
        <v>149</v>
      </c>
      <c r="F587" s="139">
        <f>F588</f>
        <v>4923.5</v>
      </c>
      <c r="G587" s="139"/>
      <c r="H587" s="139">
        <f t="shared" ref="H587:J589" si="129">H588</f>
        <v>4923.5</v>
      </c>
      <c r="I587" s="139">
        <f t="shared" si="129"/>
        <v>-60.83972</v>
      </c>
      <c r="J587" s="139">
        <f t="shared" si="129"/>
        <v>4862.6602800000001</v>
      </c>
      <c r="K587" s="139">
        <f t="shared" ref="K587:P589" si="130">K588</f>
        <v>5044.5</v>
      </c>
      <c r="L587" s="139"/>
      <c r="M587" s="139">
        <f t="shared" si="130"/>
        <v>5044.5</v>
      </c>
      <c r="N587" s="139">
        <f t="shared" si="130"/>
        <v>5190</v>
      </c>
      <c r="O587" s="139"/>
      <c r="P587" s="139">
        <f t="shared" si="130"/>
        <v>5190</v>
      </c>
    </row>
    <row r="588" spans="1:16" ht="27" x14ac:dyDescent="0.3">
      <c r="A588" s="36"/>
      <c r="B588" s="36"/>
      <c r="C588" s="36" t="s">
        <v>156</v>
      </c>
      <c r="D588" s="36"/>
      <c r="E588" s="37" t="s">
        <v>157</v>
      </c>
      <c r="F588" s="131">
        <f>F589</f>
        <v>4923.5</v>
      </c>
      <c r="G588" s="131"/>
      <c r="H588" s="131">
        <f t="shared" si="129"/>
        <v>4923.5</v>
      </c>
      <c r="I588" s="131">
        <f t="shared" si="129"/>
        <v>-60.83972</v>
      </c>
      <c r="J588" s="131">
        <f t="shared" si="129"/>
        <v>4862.6602800000001</v>
      </c>
      <c r="K588" s="131">
        <f t="shared" si="130"/>
        <v>5044.5</v>
      </c>
      <c r="L588" s="131"/>
      <c r="M588" s="131">
        <f t="shared" si="130"/>
        <v>5044.5</v>
      </c>
      <c r="N588" s="131">
        <f t="shared" si="130"/>
        <v>5190</v>
      </c>
      <c r="O588" s="131"/>
      <c r="P588" s="131">
        <f t="shared" si="130"/>
        <v>5190</v>
      </c>
    </row>
    <row r="589" spans="1:16" ht="27" x14ac:dyDescent="0.3">
      <c r="A589" s="81"/>
      <c r="B589" s="81"/>
      <c r="C589" s="7" t="s">
        <v>158</v>
      </c>
      <c r="D589" s="7"/>
      <c r="E589" s="3" t="s">
        <v>159</v>
      </c>
      <c r="F589" s="130">
        <f>F590</f>
        <v>4923.5</v>
      </c>
      <c r="G589" s="130"/>
      <c r="H589" s="130">
        <f t="shared" si="129"/>
        <v>4923.5</v>
      </c>
      <c r="I589" s="130">
        <f t="shared" si="129"/>
        <v>-60.83972</v>
      </c>
      <c r="J589" s="130">
        <f t="shared" si="129"/>
        <v>4862.6602800000001</v>
      </c>
      <c r="K589" s="130">
        <f t="shared" si="130"/>
        <v>5044.5</v>
      </c>
      <c r="L589" s="130"/>
      <c r="M589" s="130">
        <f t="shared" si="130"/>
        <v>5044.5</v>
      </c>
      <c r="N589" s="130">
        <f t="shared" si="130"/>
        <v>5190</v>
      </c>
      <c r="O589" s="130"/>
      <c r="P589" s="130">
        <f t="shared" si="130"/>
        <v>5190</v>
      </c>
    </row>
    <row r="590" spans="1:16" ht="27" x14ac:dyDescent="0.3">
      <c r="A590" s="81"/>
      <c r="B590" s="81"/>
      <c r="C590" s="7"/>
      <c r="D590" s="46" t="s">
        <v>608</v>
      </c>
      <c r="E590" s="47" t="s">
        <v>609</v>
      </c>
      <c r="F590" s="130">
        <v>4923.5</v>
      </c>
      <c r="G590" s="130"/>
      <c r="H590" s="130">
        <v>4923.5</v>
      </c>
      <c r="I590" s="130">
        <v>-60.83972</v>
      </c>
      <c r="J590" s="130">
        <f>SUM(H590:I590)</f>
        <v>4862.6602800000001</v>
      </c>
      <c r="K590" s="130">
        <v>5044.5</v>
      </c>
      <c r="L590" s="130"/>
      <c r="M590" s="130">
        <v>5044.5</v>
      </c>
      <c r="N590" s="130">
        <v>5190</v>
      </c>
      <c r="O590" s="130"/>
      <c r="P590" s="130">
        <v>5190</v>
      </c>
    </row>
    <row r="591" spans="1:16" ht="27" x14ac:dyDescent="0.3">
      <c r="A591" s="34"/>
      <c r="B591" s="34"/>
      <c r="C591" s="34" t="s">
        <v>164</v>
      </c>
      <c r="D591" s="34"/>
      <c r="E591" s="35" t="s">
        <v>165</v>
      </c>
      <c r="F591" s="139">
        <f t="shared" ref="F591:K591" si="131">F592</f>
        <v>2131.9499999999998</v>
      </c>
      <c r="G591" s="139">
        <f t="shared" si="131"/>
        <v>2056.5</v>
      </c>
      <c r="H591" s="139">
        <f t="shared" si="131"/>
        <v>5485.3460000000005</v>
      </c>
      <c r="I591" s="139">
        <f t="shared" si="131"/>
        <v>450.7</v>
      </c>
      <c r="J591" s="139">
        <f t="shared" si="131"/>
        <v>5936.0460000000003</v>
      </c>
      <c r="K591" s="139">
        <f t="shared" si="131"/>
        <v>7205.3</v>
      </c>
      <c r="L591" s="139"/>
      <c r="M591" s="139">
        <f>M592</f>
        <v>7205.3</v>
      </c>
      <c r="N591" s="139">
        <f>N592</f>
        <v>10194.5</v>
      </c>
      <c r="O591" s="139"/>
      <c r="P591" s="139">
        <f>P592</f>
        <v>10194.5</v>
      </c>
    </row>
    <row r="592" spans="1:16" ht="40.15" x14ac:dyDescent="0.3">
      <c r="A592" s="39"/>
      <c r="B592" s="39"/>
      <c r="C592" s="39" t="s">
        <v>166</v>
      </c>
      <c r="D592" s="39"/>
      <c r="E592" s="37" t="s">
        <v>167</v>
      </c>
      <c r="F592" s="131">
        <f>F597</f>
        <v>2131.9499999999998</v>
      </c>
      <c r="G592" s="131">
        <f>G608+G601+G593+G606</f>
        <v>2056.5</v>
      </c>
      <c r="H592" s="131">
        <f>H597+H595+H608+H601+H593+H606</f>
        <v>5485.3460000000005</v>
      </c>
      <c r="I592" s="131">
        <f>I597+I595+I608+I601+I593+I606</f>
        <v>450.7</v>
      </c>
      <c r="J592" s="131">
        <f>J597+J595+J608+J601+J593+J606</f>
        <v>5936.0460000000003</v>
      </c>
      <c r="K592" s="131">
        <f>K597+K601+K608</f>
        <v>7205.3</v>
      </c>
      <c r="L592" s="131"/>
      <c r="M592" s="131">
        <f>M597+M601+M608</f>
        <v>7205.3</v>
      </c>
      <c r="N592" s="131">
        <f>N597+N601+N608</f>
        <v>10194.5</v>
      </c>
      <c r="O592" s="131"/>
      <c r="P592" s="131">
        <f>P597+P601+P608</f>
        <v>10194.5</v>
      </c>
    </row>
    <row r="593" spans="1:25" s="44" customFormat="1" ht="38.25" x14ac:dyDescent="0.25">
      <c r="A593" s="7"/>
      <c r="B593" s="7"/>
      <c r="C593" s="4" t="s">
        <v>172</v>
      </c>
      <c r="D593" s="4"/>
      <c r="E593" s="5" t="s">
        <v>173</v>
      </c>
      <c r="F593" s="137"/>
      <c r="G593" s="146">
        <v>100.2</v>
      </c>
      <c r="H593" s="146">
        <f>H594</f>
        <v>834.30000000000007</v>
      </c>
      <c r="I593" s="146">
        <f>I594</f>
        <v>193.2</v>
      </c>
      <c r="J593" s="146">
        <f>J594</f>
        <v>1027.5</v>
      </c>
      <c r="K593" s="156"/>
      <c r="L593" s="156"/>
      <c r="M593" s="156">
        <v>0</v>
      </c>
      <c r="N593" s="156"/>
      <c r="O593" s="156"/>
      <c r="P593" s="156">
        <v>0</v>
      </c>
    </row>
    <row r="594" spans="1:25" s="44" customFormat="1" ht="26.25" x14ac:dyDescent="0.25">
      <c r="A594" s="7"/>
      <c r="B594" s="7"/>
      <c r="C594" s="4"/>
      <c r="D594" s="7" t="s">
        <v>608</v>
      </c>
      <c r="E594" s="3" t="s">
        <v>609</v>
      </c>
      <c r="F594" s="137"/>
      <c r="G594" s="146">
        <v>100.2</v>
      </c>
      <c r="H594" s="146">
        <v>834.30000000000007</v>
      </c>
      <c r="I594" s="146">
        <v>193.2</v>
      </c>
      <c r="J594" s="146">
        <f>H594+I594</f>
        <v>1027.5</v>
      </c>
      <c r="K594" s="156"/>
      <c r="L594" s="156"/>
      <c r="M594" s="156">
        <v>0</v>
      </c>
      <c r="N594" s="156"/>
      <c r="O594" s="156"/>
      <c r="P594" s="156">
        <v>0</v>
      </c>
    </row>
    <row r="595" spans="1:25" s="44" customFormat="1" ht="51.75" x14ac:dyDescent="0.25">
      <c r="A595" s="7"/>
      <c r="B595" s="7"/>
      <c r="C595" s="4" t="s">
        <v>174</v>
      </c>
      <c r="D595" s="7"/>
      <c r="E595" s="3" t="s">
        <v>175</v>
      </c>
      <c r="F595" s="137"/>
      <c r="G595" s="146"/>
      <c r="H595" s="146">
        <f>H596</f>
        <v>520.5</v>
      </c>
      <c r="I595" s="146">
        <f>I596</f>
        <v>257.5</v>
      </c>
      <c r="J595" s="146">
        <f>J596</f>
        <v>778</v>
      </c>
      <c r="K595" s="156"/>
      <c r="L595" s="156"/>
      <c r="M595" s="156">
        <v>0</v>
      </c>
      <c r="N595" s="156"/>
      <c r="O595" s="156"/>
      <c r="P595" s="156">
        <v>0</v>
      </c>
    </row>
    <row r="596" spans="1:25" s="44" customFormat="1" ht="26.25" x14ac:dyDescent="0.25">
      <c r="A596" s="7"/>
      <c r="B596" s="7"/>
      <c r="C596" s="4"/>
      <c r="D596" s="7" t="s">
        <v>608</v>
      </c>
      <c r="E596" s="3" t="s">
        <v>609</v>
      </c>
      <c r="F596" s="137"/>
      <c r="G596" s="146"/>
      <c r="H596" s="146">
        <f>240+280.5</f>
        <v>520.5</v>
      </c>
      <c r="I596" s="146">
        <v>257.5</v>
      </c>
      <c r="J596" s="146">
        <f>H596+I596</f>
        <v>778</v>
      </c>
      <c r="K596" s="156"/>
      <c r="L596" s="156"/>
      <c r="M596" s="156">
        <v>0</v>
      </c>
      <c r="N596" s="156"/>
      <c r="O596" s="156"/>
      <c r="P596" s="156">
        <v>0</v>
      </c>
    </row>
    <row r="597" spans="1:25" ht="27" x14ac:dyDescent="0.3">
      <c r="A597" s="81"/>
      <c r="B597" s="81"/>
      <c r="C597" s="7" t="s">
        <v>168</v>
      </c>
      <c r="D597" s="7"/>
      <c r="E597" s="3" t="s">
        <v>169</v>
      </c>
      <c r="F597" s="130">
        <f>F599+F600</f>
        <v>2131.9499999999998</v>
      </c>
      <c r="G597" s="146"/>
      <c r="H597" s="146">
        <f>H599+H600</f>
        <v>2174.2460000000001</v>
      </c>
      <c r="I597" s="146"/>
      <c r="J597" s="146">
        <f>J599+J600</f>
        <v>2174.2460000000001</v>
      </c>
      <c r="K597" s="146">
        <v>0</v>
      </c>
      <c r="L597" s="146"/>
      <c r="M597" s="146">
        <v>0</v>
      </c>
      <c r="N597" s="146">
        <v>0</v>
      </c>
      <c r="O597" s="146"/>
      <c r="P597" s="146">
        <v>0</v>
      </c>
    </row>
    <row r="598" spans="1:25" ht="27" x14ac:dyDescent="0.3">
      <c r="A598" s="81"/>
      <c r="B598" s="81"/>
      <c r="C598" s="7"/>
      <c r="D598" s="7" t="s">
        <v>608</v>
      </c>
      <c r="E598" s="3" t="s">
        <v>609</v>
      </c>
      <c r="F598" s="130">
        <f>F599+F600</f>
        <v>2131.9499999999998</v>
      </c>
      <c r="G598" s="146"/>
      <c r="H598" s="146">
        <f>H599+H600</f>
        <v>2174.2460000000001</v>
      </c>
      <c r="I598" s="146"/>
      <c r="J598" s="146">
        <f>J599+J600</f>
        <v>2174.2460000000001</v>
      </c>
      <c r="K598" s="146">
        <v>0</v>
      </c>
      <c r="L598" s="146"/>
      <c r="M598" s="146">
        <v>0</v>
      </c>
      <c r="N598" s="146">
        <v>0</v>
      </c>
      <c r="O598" s="146"/>
      <c r="P598" s="146">
        <v>0</v>
      </c>
      <c r="V598" s="48"/>
      <c r="W598" s="48"/>
      <c r="X598" s="48"/>
      <c r="Y598" s="48"/>
    </row>
    <row r="599" spans="1:25" ht="14.45" x14ac:dyDescent="0.3">
      <c r="A599" s="81"/>
      <c r="B599" s="81"/>
      <c r="C599" s="7"/>
      <c r="D599" s="7"/>
      <c r="E599" s="3" t="s">
        <v>170</v>
      </c>
      <c r="F599" s="130">
        <v>1598.963</v>
      </c>
      <c r="G599" s="146"/>
      <c r="H599" s="146">
        <v>1598.963</v>
      </c>
      <c r="I599" s="146"/>
      <c r="J599" s="146">
        <v>1598.963</v>
      </c>
      <c r="K599" s="146">
        <v>0</v>
      </c>
      <c r="L599" s="146"/>
      <c r="M599" s="146">
        <v>0</v>
      </c>
      <c r="N599" s="146">
        <v>0</v>
      </c>
      <c r="O599" s="146"/>
      <c r="P599" s="146">
        <v>0</v>
      </c>
      <c r="V599" s="49"/>
      <c r="W599" s="49"/>
    </row>
    <row r="600" spans="1:25" ht="14.45" x14ac:dyDescent="0.3">
      <c r="A600" s="81"/>
      <c r="B600" s="81"/>
      <c r="C600" s="7"/>
      <c r="D600" s="7"/>
      <c r="E600" s="3" t="s">
        <v>171</v>
      </c>
      <c r="F600" s="130">
        <v>532.98699999999997</v>
      </c>
      <c r="G600" s="146"/>
      <c r="H600" s="146">
        <v>575.28300000000002</v>
      </c>
      <c r="I600" s="146"/>
      <c r="J600" s="146">
        <f>SUM(H600:I600)</f>
        <v>575.28300000000002</v>
      </c>
      <c r="K600" s="146">
        <v>0</v>
      </c>
      <c r="L600" s="146"/>
      <c r="M600" s="146">
        <v>0</v>
      </c>
      <c r="N600" s="146">
        <v>0</v>
      </c>
      <c r="O600" s="146"/>
      <c r="P600" s="146">
        <v>0</v>
      </c>
      <c r="R600" s="45"/>
      <c r="V600" s="296"/>
      <c r="W600" s="296"/>
      <c r="X600" s="296"/>
      <c r="Y600" s="296"/>
    </row>
    <row r="601" spans="1:25" ht="25.5" x14ac:dyDescent="0.25">
      <c r="A601" s="81"/>
      <c r="B601" s="81"/>
      <c r="C601" s="7" t="s">
        <v>553</v>
      </c>
      <c r="D601" s="4"/>
      <c r="E601" s="6" t="s">
        <v>181</v>
      </c>
      <c r="F601" s="148">
        <v>0</v>
      </c>
      <c r="G601" s="146"/>
      <c r="H601" s="146"/>
      <c r="I601" s="146"/>
      <c r="J601" s="146">
        <v>0</v>
      </c>
      <c r="K601" s="148">
        <v>5435.3</v>
      </c>
      <c r="L601" s="148"/>
      <c r="M601" s="148">
        <v>5435.3</v>
      </c>
      <c r="N601" s="148">
        <v>8354.5</v>
      </c>
      <c r="O601" s="148"/>
      <c r="P601" s="148">
        <v>8354.5</v>
      </c>
    </row>
    <row r="602" spans="1:25" ht="26.25" x14ac:dyDescent="0.25">
      <c r="A602" s="81"/>
      <c r="B602" s="81"/>
      <c r="C602" s="7"/>
      <c r="D602" s="7" t="s">
        <v>608</v>
      </c>
      <c r="E602" s="3" t="s">
        <v>609</v>
      </c>
      <c r="F602" s="148">
        <v>0</v>
      </c>
      <c r="G602" s="146"/>
      <c r="H602" s="146"/>
      <c r="I602" s="146"/>
      <c r="J602" s="146">
        <v>0</v>
      </c>
      <c r="K602" s="148">
        <v>5435.3</v>
      </c>
      <c r="L602" s="148"/>
      <c r="M602" s="148">
        <v>5435.3</v>
      </c>
      <c r="N602" s="148">
        <v>8354.5</v>
      </c>
      <c r="O602" s="148"/>
      <c r="P602" s="148">
        <v>8354.5</v>
      </c>
    </row>
    <row r="603" spans="1:25" ht="14.45" x14ac:dyDescent="0.3">
      <c r="A603" s="81"/>
      <c r="B603" s="81"/>
      <c r="C603" s="7"/>
      <c r="D603" s="7"/>
      <c r="E603" s="3" t="s">
        <v>182</v>
      </c>
      <c r="F603" s="130"/>
      <c r="G603" s="146"/>
      <c r="H603" s="146"/>
      <c r="I603" s="146"/>
      <c r="J603" s="146"/>
      <c r="K603" s="146"/>
      <c r="L603" s="146"/>
      <c r="M603" s="146"/>
      <c r="N603" s="146"/>
      <c r="O603" s="146"/>
      <c r="P603" s="146"/>
    </row>
    <row r="604" spans="1:25" ht="14.45" x14ac:dyDescent="0.3">
      <c r="A604" s="81"/>
      <c r="B604" s="81"/>
      <c r="C604" s="7"/>
      <c r="D604" s="7"/>
      <c r="E604" s="3" t="s">
        <v>183</v>
      </c>
      <c r="F604" s="130"/>
      <c r="G604" s="146"/>
      <c r="H604" s="146"/>
      <c r="I604" s="146"/>
      <c r="J604" s="146"/>
      <c r="K604" s="146"/>
      <c r="L604" s="146"/>
      <c r="M604" s="146"/>
      <c r="N604" s="146"/>
      <c r="O604" s="146"/>
      <c r="P604" s="146"/>
    </row>
    <row r="605" spans="1:25" x14ac:dyDescent="0.25">
      <c r="A605" s="81"/>
      <c r="B605" s="81"/>
      <c r="C605" s="7"/>
      <c r="D605" s="7"/>
      <c r="E605" s="3" t="s">
        <v>120</v>
      </c>
      <c r="F605" s="130"/>
      <c r="G605" s="146"/>
      <c r="H605" s="146"/>
      <c r="I605" s="146"/>
      <c r="J605" s="146">
        <v>0</v>
      </c>
      <c r="K605" s="146">
        <v>5435.3</v>
      </c>
      <c r="L605" s="146"/>
      <c r="M605" s="146">
        <v>5435.3</v>
      </c>
      <c r="N605" s="146">
        <v>8354.5</v>
      </c>
      <c r="O605" s="146"/>
      <c r="P605" s="146">
        <v>8354.5</v>
      </c>
    </row>
    <row r="606" spans="1:25" ht="25.5" x14ac:dyDescent="0.25">
      <c r="A606" s="81"/>
      <c r="B606" s="81"/>
      <c r="C606" s="7" t="s">
        <v>799</v>
      </c>
      <c r="D606" s="4"/>
      <c r="E606" s="6" t="s">
        <v>800</v>
      </c>
      <c r="F606" s="130"/>
      <c r="G606" s="146">
        <v>1386.3</v>
      </c>
      <c r="H606" s="146">
        <v>1386.3</v>
      </c>
      <c r="I606" s="146"/>
      <c r="J606" s="146">
        <v>1386.3</v>
      </c>
      <c r="K606" s="146"/>
      <c r="L606" s="146"/>
      <c r="M606" s="146">
        <v>0</v>
      </c>
      <c r="N606" s="146"/>
      <c r="O606" s="146"/>
      <c r="P606" s="146">
        <v>0</v>
      </c>
    </row>
    <row r="607" spans="1:25" ht="26.25" x14ac:dyDescent="0.25">
      <c r="A607" s="81"/>
      <c r="B607" s="81"/>
      <c r="C607" s="7"/>
      <c r="D607" s="7" t="s">
        <v>608</v>
      </c>
      <c r="E607" s="3" t="s">
        <v>609</v>
      </c>
      <c r="F607" s="130"/>
      <c r="G607" s="146">
        <v>1386.3</v>
      </c>
      <c r="H607" s="146">
        <v>1386.3</v>
      </c>
      <c r="I607" s="146"/>
      <c r="J607" s="146">
        <v>1386.3</v>
      </c>
      <c r="K607" s="146"/>
      <c r="L607" s="146"/>
      <c r="M607" s="146">
        <v>0</v>
      </c>
      <c r="N607" s="146"/>
      <c r="O607" s="146"/>
      <c r="P607" s="146">
        <v>0</v>
      </c>
    </row>
    <row r="608" spans="1:25" ht="32.25" customHeight="1" x14ac:dyDescent="0.3">
      <c r="A608" s="81"/>
      <c r="B608" s="81"/>
      <c r="C608" s="7" t="s">
        <v>769</v>
      </c>
      <c r="D608" s="7"/>
      <c r="E608" s="1" t="s">
        <v>797</v>
      </c>
      <c r="F608" s="130"/>
      <c r="G608" s="146">
        <v>570</v>
      </c>
      <c r="H608" s="146">
        <v>570</v>
      </c>
      <c r="I608" s="146"/>
      <c r="J608" s="146">
        <v>570</v>
      </c>
      <c r="K608" s="146">
        <v>1770</v>
      </c>
      <c r="L608" s="146"/>
      <c r="M608" s="146">
        <v>1770</v>
      </c>
      <c r="N608" s="146">
        <v>1840</v>
      </c>
      <c r="O608" s="146"/>
      <c r="P608" s="146">
        <v>1840</v>
      </c>
    </row>
    <row r="609" spans="1:16" ht="27" x14ac:dyDescent="0.3">
      <c r="A609" s="81"/>
      <c r="B609" s="81"/>
      <c r="C609" s="7"/>
      <c r="D609" s="7" t="s">
        <v>608</v>
      </c>
      <c r="E609" s="3" t="s">
        <v>609</v>
      </c>
      <c r="F609" s="130"/>
      <c r="G609" s="146">
        <v>570</v>
      </c>
      <c r="H609" s="146">
        <v>570</v>
      </c>
      <c r="I609" s="146"/>
      <c r="J609" s="146">
        <v>570</v>
      </c>
      <c r="K609" s="146">
        <v>1770</v>
      </c>
      <c r="L609" s="146"/>
      <c r="M609" s="146">
        <v>1770</v>
      </c>
      <c r="N609" s="146">
        <v>1840</v>
      </c>
      <c r="O609" s="146"/>
      <c r="P609" s="146">
        <v>1840</v>
      </c>
    </row>
    <row r="610" spans="1:16" ht="14.45" x14ac:dyDescent="0.3">
      <c r="A610" s="81"/>
      <c r="B610" s="81"/>
      <c r="C610" s="7"/>
      <c r="D610" s="7"/>
      <c r="E610" s="3" t="s">
        <v>183</v>
      </c>
      <c r="F610" s="130"/>
      <c r="G610" s="146"/>
      <c r="H610" s="146"/>
      <c r="I610" s="146"/>
      <c r="J610" s="146"/>
      <c r="K610" s="146"/>
      <c r="L610" s="146"/>
      <c r="M610" s="146"/>
      <c r="N610" s="146"/>
      <c r="O610" s="146"/>
      <c r="P610" s="146"/>
    </row>
    <row r="611" spans="1:16" ht="14.45" x14ac:dyDescent="0.3">
      <c r="A611" s="81"/>
      <c r="B611" s="81"/>
      <c r="C611" s="7"/>
      <c r="D611" s="7"/>
      <c r="E611" s="3" t="s">
        <v>120</v>
      </c>
      <c r="F611" s="130"/>
      <c r="G611" s="146">
        <v>570</v>
      </c>
      <c r="H611" s="146">
        <v>570</v>
      </c>
      <c r="I611" s="146"/>
      <c r="J611" s="146">
        <v>570</v>
      </c>
      <c r="K611" s="146">
        <v>1770</v>
      </c>
      <c r="L611" s="146"/>
      <c r="M611" s="146">
        <v>1770</v>
      </c>
      <c r="N611" s="146">
        <v>1840</v>
      </c>
      <c r="O611" s="146"/>
      <c r="P611" s="146">
        <v>1840</v>
      </c>
    </row>
    <row r="612" spans="1:16" ht="26.45" x14ac:dyDescent="0.3">
      <c r="A612" s="93"/>
      <c r="B612" s="94"/>
      <c r="C612" s="95" t="s">
        <v>346</v>
      </c>
      <c r="D612" s="94"/>
      <c r="E612" s="96" t="s">
        <v>347</v>
      </c>
      <c r="F612" s="138">
        <f>F613</f>
        <v>599.99099999999999</v>
      </c>
      <c r="G612" s="138"/>
      <c r="H612" s="138">
        <f>H613</f>
        <v>599.99099999999999</v>
      </c>
      <c r="I612" s="138"/>
      <c r="J612" s="138">
        <f>J613</f>
        <v>599.99099999999999</v>
      </c>
      <c r="K612" s="138">
        <v>0</v>
      </c>
      <c r="L612" s="138"/>
      <c r="M612" s="138">
        <v>0</v>
      </c>
      <c r="N612" s="138">
        <v>0</v>
      </c>
      <c r="O612" s="138"/>
      <c r="P612" s="138">
        <v>0</v>
      </c>
    </row>
    <row r="613" spans="1:16" ht="27" x14ac:dyDescent="0.3">
      <c r="A613" s="34"/>
      <c r="B613" s="34"/>
      <c r="C613" s="34" t="s">
        <v>364</v>
      </c>
      <c r="D613" s="34"/>
      <c r="E613" s="60" t="s">
        <v>365</v>
      </c>
      <c r="F613" s="139">
        <f>F614</f>
        <v>599.99099999999999</v>
      </c>
      <c r="G613" s="139"/>
      <c r="H613" s="139">
        <f>H614</f>
        <v>599.99099999999999</v>
      </c>
      <c r="I613" s="139"/>
      <c r="J613" s="139">
        <f>J614</f>
        <v>599.99099999999999</v>
      </c>
      <c r="K613" s="139">
        <v>0</v>
      </c>
      <c r="L613" s="139"/>
      <c r="M613" s="139">
        <v>0</v>
      </c>
      <c r="N613" s="139">
        <v>0</v>
      </c>
      <c r="O613" s="139"/>
      <c r="P613" s="139">
        <v>0</v>
      </c>
    </row>
    <row r="614" spans="1:16" ht="27" x14ac:dyDescent="0.3">
      <c r="A614" s="36"/>
      <c r="B614" s="36"/>
      <c r="C614" s="36" t="s">
        <v>366</v>
      </c>
      <c r="D614" s="36"/>
      <c r="E614" s="22" t="s">
        <v>367</v>
      </c>
      <c r="F614" s="131">
        <f>F615</f>
        <v>599.99099999999999</v>
      </c>
      <c r="G614" s="131"/>
      <c r="H614" s="131">
        <f>H615</f>
        <v>599.99099999999999</v>
      </c>
      <c r="I614" s="131"/>
      <c r="J614" s="131">
        <f>J615</f>
        <v>599.99099999999999</v>
      </c>
      <c r="K614" s="131">
        <v>0</v>
      </c>
      <c r="L614" s="131"/>
      <c r="M614" s="131">
        <v>0</v>
      </c>
      <c r="N614" s="131">
        <v>0</v>
      </c>
      <c r="O614" s="131"/>
      <c r="P614" s="131">
        <v>0</v>
      </c>
    </row>
    <row r="615" spans="1:16" x14ac:dyDescent="0.25">
      <c r="A615" s="13"/>
      <c r="B615" s="13"/>
      <c r="C615" s="7" t="s">
        <v>761</v>
      </c>
      <c r="D615" s="7"/>
      <c r="E615" s="20" t="s">
        <v>760</v>
      </c>
      <c r="F615" s="130">
        <f>F616</f>
        <v>599.99099999999999</v>
      </c>
      <c r="G615" s="130"/>
      <c r="H615" s="130">
        <f>H616</f>
        <v>599.99099999999999</v>
      </c>
      <c r="I615" s="130"/>
      <c r="J615" s="130">
        <f>J616</f>
        <v>599.99099999999999</v>
      </c>
      <c r="K615" s="137"/>
      <c r="L615" s="137"/>
      <c r="M615" s="137">
        <v>0</v>
      </c>
      <c r="N615" s="137"/>
      <c r="O615" s="137"/>
      <c r="P615" s="137">
        <v>0</v>
      </c>
    </row>
    <row r="616" spans="1:16" ht="26.25" x14ac:dyDescent="0.25">
      <c r="A616" s="13"/>
      <c r="B616" s="13"/>
      <c r="C616" s="7"/>
      <c r="D616" s="7" t="s">
        <v>336</v>
      </c>
      <c r="E616" s="3" t="s">
        <v>337</v>
      </c>
      <c r="F616" s="130">
        <f>F617+F618+F619</f>
        <v>599.99099999999999</v>
      </c>
      <c r="G616" s="130"/>
      <c r="H616" s="130">
        <f>H617+H618+H619</f>
        <v>599.99099999999999</v>
      </c>
      <c r="I616" s="130"/>
      <c r="J616" s="130">
        <f>J617+J618+J619</f>
        <v>599.99099999999999</v>
      </c>
      <c r="K616" s="137"/>
      <c r="L616" s="137"/>
      <c r="M616" s="137">
        <v>0</v>
      </c>
      <c r="N616" s="137"/>
      <c r="O616" s="137"/>
      <c r="P616" s="137">
        <v>0</v>
      </c>
    </row>
    <row r="617" spans="1:16" x14ac:dyDescent="0.25">
      <c r="A617" s="13"/>
      <c r="B617" s="13"/>
      <c r="C617" s="7"/>
      <c r="D617" s="7"/>
      <c r="E617" s="62" t="s">
        <v>250</v>
      </c>
      <c r="F617" s="130">
        <v>539.99099999999999</v>
      </c>
      <c r="G617" s="130"/>
      <c r="H617" s="130">
        <v>539.99099999999999</v>
      </c>
      <c r="I617" s="130"/>
      <c r="J617" s="130">
        <v>539.99099999999999</v>
      </c>
      <c r="K617" s="137"/>
      <c r="L617" s="137"/>
      <c r="M617" s="137">
        <v>0</v>
      </c>
      <c r="N617" s="137"/>
      <c r="O617" s="137"/>
      <c r="P617" s="137">
        <v>0</v>
      </c>
    </row>
    <row r="618" spans="1:16" x14ac:dyDescent="0.25">
      <c r="A618" s="13"/>
      <c r="B618" s="13"/>
      <c r="C618" s="7"/>
      <c r="D618" s="7"/>
      <c r="E618" s="62" t="s">
        <v>354</v>
      </c>
      <c r="F618" s="130">
        <v>30</v>
      </c>
      <c r="G618" s="130"/>
      <c r="H618" s="130">
        <v>30</v>
      </c>
      <c r="I618" s="130"/>
      <c r="J618" s="130">
        <v>30</v>
      </c>
      <c r="K618" s="137"/>
      <c r="L618" s="137"/>
      <c r="M618" s="137">
        <v>0</v>
      </c>
      <c r="N618" s="137"/>
      <c r="O618" s="137"/>
      <c r="P618" s="137">
        <v>0</v>
      </c>
    </row>
    <row r="619" spans="1:16" x14ac:dyDescent="0.25">
      <c r="A619" s="13"/>
      <c r="B619" s="13"/>
      <c r="C619" s="7"/>
      <c r="D619" s="7"/>
      <c r="E619" s="62" t="s">
        <v>360</v>
      </c>
      <c r="F619" s="130">
        <v>30</v>
      </c>
      <c r="G619" s="130"/>
      <c r="H619" s="130">
        <v>30</v>
      </c>
      <c r="I619" s="130"/>
      <c r="J619" s="130">
        <v>30</v>
      </c>
      <c r="K619" s="137"/>
      <c r="L619" s="137"/>
      <c r="M619" s="137">
        <v>0</v>
      </c>
      <c r="N619" s="137"/>
      <c r="O619" s="137"/>
      <c r="P619" s="137">
        <v>0</v>
      </c>
    </row>
    <row r="620" spans="1:16" x14ac:dyDescent="0.25">
      <c r="A620" s="194"/>
      <c r="B620" s="194"/>
      <c r="C620" s="194" t="s">
        <v>500</v>
      </c>
      <c r="D620" s="194"/>
      <c r="E620" s="195" t="s">
        <v>501</v>
      </c>
      <c r="F620" s="200"/>
      <c r="G620" s="200">
        <f t="shared" ref="G620:J622" si="132">G621</f>
        <v>129.5</v>
      </c>
      <c r="H620" s="200">
        <f t="shared" si="132"/>
        <v>129.5</v>
      </c>
      <c r="I620" s="200">
        <f t="shared" si="132"/>
        <v>-14.6</v>
      </c>
      <c r="J620" s="200">
        <f t="shared" si="132"/>
        <v>114.9</v>
      </c>
      <c r="K620" s="192"/>
      <c r="L620" s="192"/>
      <c r="M620" s="192">
        <v>0</v>
      </c>
      <c r="N620" s="192"/>
      <c r="O620" s="192"/>
      <c r="P620" s="192">
        <v>0</v>
      </c>
    </row>
    <row r="621" spans="1:16" ht="39" x14ac:dyDescent="0.25">
      <c r="A621" s="72"/>
      <c r="B621" s="72"/>
      <c r="C621" s="72" t="s">
        <v>509</v>
      </c>
      <c r="D621" s="72"/>
      <c r="E621" s="74" t="s">
        <v>510</v>
      </c>
      <c r="F621" s="153"/>
      <c r="G621" s="153">
        <f t="shared" si="132"/>
        <v>129.5</v>
      </c>
      <c r="H621" s="153">
        <f t="shared" si="132"/>
        <v>129.5</v>
      </c>
      <c r="I621" s="153">
        <f t="shared" si="132"/>
        <v>-14.6</v>
      </c>
      <c r="J621" s="153">
        <f t="shared" si="132"/>
        <v>114.9</v>
      </c>
      <c r="K621" s="153"/>
      <c r="L621" s="153"/>
      <c r="M621" s="153">
        <v>0</v>
      </c>
      <c r="N621" s="153"/>
      <c r="O621" s="153"/>
      <c r="P621" s="153">
        <v>0</v>
      </c>
    </row>
    <row r="622" spans="1:16" ht="38.25" x14ac:dyDescent="0.25">
      <c r="A622" s="13"/>
      <c r="B622" s="13"/>
      <c r="C622" s="24" t="s">
        <v>783</v>
      </c>
      <c r="D622" s="17"/>
      <c r="E622" s="1" t="s">
        <v>784</v>
      </c>
      <c r="F622" s="130"/>
      <c r="G622" s="130">
        <f t="shared" si="132"/>
        <v>129.5</v>
      </c>
      <c r="H622" s="130">
        <f t="shared" si="132"/>
        <v>129.5</v>
      </c>
      <c r="I622" s="130">
        <f>I623</f>
        <v>-14.6</v>
      </c>
      <c r="J622" s="130">
        <f t="shared" si="132"/>
        <v>114.9</v>
      </c>
      <c r="K622" s="137"/>
      <c r="L622" s="137"/>
      <c r="M622" s="137">
        <v>0</v>
      </c>
      <c r="N622" s="137"/>
      <c r="O622" s="137"/>
      <c r="P622" s="137">
        <v>0</v>
      </c>
    </row>
    <row r="623" spans="1:16" ht="25.5" x14ac:dyDescent="0.25">
      <c r="A623" s="13"/>
      <c r="B623" s="13"/>
      <c r="C623" s="18"/>
      <c r="D623" s="17" t="s">
        <v>608</v>
      </c>
      <c r="E623" s="1" t="s">
        <v>609</v>
      </c>
      <c r="F623" s="130"/>
      <c r="G623" s="130">
        <v>129.5</v>
      </c>
      <c r="H623" s="130">
        <v>129.5</v>
      </c>
      <c r="I623" s="130">
        <v>-14.6</v>
      </c>
      <c r="J623" s="130">
        <f>129.5-14.6</f>
        <v>114.9</v>
      </c>
      <c r="K623" s="137"/>
      <c r="L623" s="137"/>
      <c r="M623" s="137">
        <v>0</v>
      </c>
      <c r="N623" s="137"/>
      <c r="O623" s="137"/>
      <c r="P623" s="137">
        <v>0</v>
      </c>
    </row>
    <row r="624" spans="1:16" ht="14.45" x14ac:dyDescent="0.3">
      <c r="A624" s="80"/>
      <c r="B624" s="18" t="s">
        <v>683</v>
      </c>
      <c r="C624" s="86"/>
      <c r="D624" s="18"/>
      <c r="E624" s="90" t="s">
        <v>684</v>
      </c>
      <c r="F624" s="137">
        <f>F625</f>
        <v>30952.5</v>
      </c>
      <c r="G624" s="137"/>
      <c r="H624" s="137">
        <f t="shared" ref="H624:P627" si="133">H625</f>
        <v>31189.200000000001</v>
      </c>
      <c r="I624" s="137">
        <f t="shared" si="133"/>
        <v>46.600000000000009</v>
      </c>
      <c r="J624" s="137">
        <f t="shared" si="133"/>
        <v>31235.8</v>
      </c>
      <c r="K624" s="137">
        <f t="shared" si="133"/>
        <v>31035.7</v>
      </c>
      <c r="L624" s="137"/>
      <c r="M624" s="137">
        <f t="shared" si="133"/>
        <v>31035.7</v>
      </c>
      <c r="N624" s="137">
        <f t="shared" si="133"/>
        <v>31124.5</v>
      </c>
      <c r="O624" s="137"/>
      <c r="P624" s="137">
        <f t="shared" si="133"/>
        <v>31124.5</v>
      </c>
    </row>
    <row r="625" spans="1:16" ht="26.45" x14ac:dyDescent="0.3">
      <c r="A625" s="80"/>
      <c r="B625" s="18"/>
      <c r="C625" s="86" t="s">
        <v>6</v>
      </c>
      <c r="D625" s="85"/>
      <c r="E625" s="90" t="s">
        <v>7</v>
      </c>
      <c r="F625" s="137">
        <f>F626</f>
        <v>30952.5</v>
      </c>
      <c r="G625" s="137"/>
      <c r="H625" s="137">
        <f t="shared" si="133"/>
        <v>31189.200000000001</v>
      </c>
      <c r="I625" s="137">
        <f t="shared" si="133"/>
        <v>46.600000000000009</v>
      </c>
      <c r="J625" s="137">
        <f t="shared" si="133"/>
        <v>31235.8</v>
      </c>
      <c r="K625" s="137">
        <f t="shared" si="133"/>
        <v>31035.7</v>
      </c>
      <c r="L625" s="137"/>
      <c r="M625" s="137">
        <f t="shared" si="133"/>
        <v>31035.7</v>
      </c>
      <c r="N625" s="137">
        <f t="shared" si="133"/>
        <v>31124.5</v>
      </c>
      <c r="O625" s="137"/>
      <c r="P625" s="137">
        <f t="shared" si="133"/>
        <v>31124.5</v>
      </c>
    </row>
    <row r="626" spans="1:16" ht="26.45" x14ac:dyDescent="0.3">
      <c r="A626" s="93"/>
      <c r="B626" s="94"/>
      <c r="C626" s="95" t="s">
        <v>65</v>
      </c>
      <c r="D626" s="94"/>
      <c r="E626" s="96" t="s">
        <v>66</v>
      </c>
      <c r="F626" s="138">
        <f>F627</f>
        <v>30952.5</v>
      </c>
      <c r="G626" s="138"/>
      <c r="H626" s="138">
        <f t="shared" si="133"/>
        <v>31189.200000000001</v>
      </c>
      <c r="I626" s="138">
        <f>I627+I633</f>
        <v>46.600000000000009</v>
      </c>
      <c r="J626" s="138">
        <f>J627+J633</f>
        <v>31235.8</v>
      </c>
      <c r="K626" s="138">
        <f t="shared" si="133"/>
        <v>31035.7</v>
      </c>
      <c r="L626" s="138"/>
      <c r="M626" s="138">
        <f t="shared" si="133"/>
        <v>31035.7</v>
      </c>
      <c r="N626" s="138">
        <f t="shared" si="133"/>
        <v>31124.5</v>
      </c>
      <c r="O626" s="138"/>
      <c r="P626" s="138">
        <f t="shared" si="133"/>
        <v>31124.5</v>
      </c>
    </row>
    <row r="627" spans="1:16" ht="14.45" x14ac:dyDescent="0.3">
      <c r="A627" s="34"/>
      <c r="B627" s="34"/>
      <c r="C627" s="34" t="s">
        <v>122</v>
      </c>
      <c r="D627" s="34"/>
      <c r="E627" s="35" t="s">
        <v>123</v>
      </c>
      <c r="F627" s="139">
        <f>F628</f>
        <v>30952.5</v>
      </c>
      <c r="G627" s="139"/>
      <c r="H627" s="139">
        <f t="shared" si="133"/>
        <v>31189.200000000001</v>
      </c>
      <c r="I627" s="139">
        <f t="shared" si="133"/>
        <v>-97.7</v>
      </c>
      <c r="J627" s="139">
        <f t="shared" si="133"/>
        <v>31091.5</v>
      </c>
      <c r="K627" s="139">
        <f t="shared" si="133"/>
        <v>31035.7</v>
      </c>
      <c r="L627" s="139"/>
      <c r="M627" s="139">
        <f t="shared" si="133"/>
        <v>31035.7</v>
      </c>
      <c r="N627" s="139">
        <f t="shared" si="133"/>
        <v>31124.5</v>
      </c>
      <c r="O627" s="139"/>
      <c r="P627" s="139">
        <f t="shared" si="133"/>
        <v>31124.5</v>
      </c>
    </row>
    <row r="628" spans="1:16" ht="27" x14ac:dyDescent="0.3">
      <c r="A628" s="36"/>
      <c r="B628" s="36"/>
      <c r="C628" s="36" t="s">
        <v>124</v>
      </c>
      <c r="D628" s="39"/>
      <c r="E628" s="37" t="s">
        <v>125</v>
      </c>
      <c r="F628" s="131">
        <f>F629+F631</f>
        <v>30952.5</v>
      </c>
      <c r="G628" s="131"/>
      <c r="H628" s="131">
        <f>H629+H631</f>
        <v>31189.200000000001</v>
      </c>
      <c r="I628" s="131">
        <f>I629+I631</f>
        <v>-97.7</v>
      </c>
      <c r="J628" s="131">
        <f>J629+J631</f>
        <v>31091.5</v>
      </c>
      <c r="K628" s="131">
        <f>K629+K631</f>
        <v>31035.7</v>
      </c>
      <c r="L628" s="131"/>
      <c r="M628" s="131">
        <f>M629+M631</f>
        <v>31035.7</v>
      </c>
      <c r="N628" s="131">
        <f>N629+N631</f>
        <v>31124.5</v>
      </c>
      <c r="O628" s="131"/>
      <c r="P628" s="131">
        <f>P629+P631</f>
        <v>31124.5</v>
      </c>
    </row>
    <row r="629" spans="1:16" ht="27" x14ac:dyDescent="0.3">
      <c r="A629" s="81"/>
      <c r="B629" s="81"/>
      <c r="C629" s="7" t="s">
        <v>126</v>
      </c>
      <c r="D629" s="13"/>
      <c r="E629" s="3" t="s">
        <v>551</v>
      </c>
      <c r="F629" s="130">
        <f>19664.1-55.8</f>
        <v>19608.3</v>
      </c>
      <c r="G629" s="130"/>
      <c r="H629" s="130">
        <f>H630</f>
        <v>19606.400000000001</v>
      </c>
      <c r="I629" s="130">
        <f>I630</f>
        <v>-97.7</v>
      </c>
      <c r="J629" s="130">
        <f>J630</f>
        <v>19508.7</v>
      </c>
      <c r="K629" s="130">
        <f>19751.9-99.2</f>
        <v>19652.7</v>
      </c>
      <c r="L629" s="130"/>
      <c r="M629" s="130">
        <f>19751.9-99.2</f>
        <v>19652.7</v>
      </c>
      <c r="N629" s="130">
        <f>19847.6-128.1</f>
        <v>19719.5</v>
      </c>
      <c r="O629" s="130"/>
      <c r="P629" s="130">
        <f>19847.6-128.1</f>
        <v>19719.5</v>
      </c>
    </row>
    <row r="630" spans="1:16" ht="27" x14ac:dyDescent="0.3">
      <c r="A630" s="81"/>
      <c r="B630" s="81"/>
      <c r="C630" s="7"/>
      <c r="D630" s="7" t="s">
        <v>608</v>
      </c>
      <c r="E630" s="3" t="s">
        <v>609</v>
      </c>
      <c r="F630" s="130">
        <f>19664.1-55.8</f>
        <v>19608.3</v>
      </c>
      <c r="G630" s="130"/>
      <c r="H630" s="130">
        <v>19606.400000000001</v>
      </c>
      <c r="I630" s="146">
        <v>-97.7</v>
      </c>
      <c r="J630" s="130">
        <f>SUM(H630:I630)</f>
        <v>19508.7</v>
      </c>
      <c r="K630" s="130">
        <f>19751.9-99.2</f>
        <v>19652.7</v>
      </c>
      <c r="L630" s="130"/>
      <c r="M630" s="130">
        <f>19751.9-99.2</f>
        <v>19652.7</v>
      </c>
      <c r="N630" s="130">
        <f>19847.6-128.1</f>
        <v>19719.5</v>
      </c>
      <c r="O630" s="130"/>
      <c r="P630" s="130">
        <f>19847.6-128.1</f>
        <v>19719.5</v>
      </c>
    </row>
    <row r="631" spans="1:16" ht="27" x14ac:dyDescent="0.3">
      <c r="A631" s="81"/>
      <c r="B631" s="81"/>
      <c r="C631" s="7" t="s">
        <v>127</v>
      </c>
      <c r="D631" s="13"/>
      <c r="E631" s="3" t="s">
        <v>128</v>
      </c>
      <c r="F631" s="130">
        <f>11630.2-286</f>
        <v>11344.2</v>
      </c>
      <c r="G631" s="130"/>
      <c r="H631" s="130">
        <f>H632</f>
        <v>11582.8</v>
      </c>
      <c r="I631" s="146"/>
      <c r="J631" s="130">
        <f>SUM(H631:I631)</f>
        <v>11582.8</v>
      </c>
      <c r="K631" s="130">
        <f>11742-359</f>
        <v>11383</v>
      </c>
      <c r="L631" s="130"/>
      <c r="M631" s="130">
        <f>11742-359</f>
        <v>11383</v>
      </c>
      <c r="N631" s="130">
        <f>11858.6-453.6</f>
        <v>11405</v>
      </c>
      <c r="O631" s="130"/>
      <c r="P631" s="130">
        <f>11858.6-453.6</f>
        <v>11405</v>
      </c>
    </row>
    <row r="632" spans="1:16" ht="27" x14ac:dyDescent="0.3">
      <c r="A632" s="81"/>
      <c r="B632" s="81"/>
      <c r="C632" s="7"/>
      <c r="D632" s="7" t="s">
        <v>608</v>
      </c>
      <c r="E632" s="3" t="s">
        <v>609</v>
      </c>
      <c r="F632" s="130">
        <f>11630.2-286</f>
        <v>11344.2</v>
      </c>
      <c r="G632" s="130"/>
      <c r="H632" s="130">
        <v>11582.8</v>
      </c>
      <c r="I632" s="146"/>
      <c r="J632" s="130">
        <f>SUM(H632:I632)</f>
        <v>11582.8</v>
      </c>
      <c r="K632" s="130">
        <f>11742-359</f>
        <v>11383</v>
      </c>
      <c r="L632" s="130"/>
      <c r="M632" s="130">
        <f>11742-359</f>
        <v>11383</v>
      </c>
      <c r="N632" s="130">
        <f>11858.6-453.6</f>
        <v>11405</v>
      </c>
      <c r="O632" s="130"/>
      <c r="P632" s="130">
        <f>11858.6-453.6</f>
        <v>11405</v>
      </c>
    </row>
    <row r="633" spans="1:16" ht="26.25" x14ac:dyDescent="0.25">
      <c r="A633" s="276"/>
      <c r="B633" s="276"/>
      <c r="C633" s="34" t="s">
        <v>164</v>
      </c>
      <c r="D633" s="34"/>
      <c r="E633" s="35" t="s">
        <v>165</v>
      </c>
      <c r="F633" s="277"/>
      <c r="G633" s="277"/>
      <c r="H633" s="139"/>
      <c r="I633" s="139">
        <v>144.30000000000001</v>
      </c>
      <c r="J633" s="139">
        <f t="shared" ref="J633:J635" si="134">I633</f>
        <v>144.30000000000001</v>
      </c>
      <c r="K633" s="139"/>
      <c r="L633" s="139"/>
      <c r="M633" s="139">
        <v>0</v>
      </c>
      <c r="N633" s="139"/>
      <c r="O633" s="139"/>
      <c r="P633" s="139">
        <v>0</v>
      </c>
    </row>
    <row r="634" spans="1:16" ht="39" x14ac:dyDescent="0.25">
      <c r="A634" s="134"/>
      <c r="B634" s="134"/>
      <c r="C634" s="39" t="s">
        <v>166</v>
      </c>
      <c r="D634" s="39"/>
      <c r="E634" s="37" t="s">
        <v>167</v>
      </c>
      <c r="F634" s="150"/>
      <c r="G634" s="150"/>
      <c r="H634" s="131"/>
      <c r="I634" s="131">
        <v>144.30000000000001</v>
      </c>
      <c r="J634" s="131">
        <f t="shared" si="134"/>
        <v>144.30000000000001</v>
      </c>
      <c r="K634" s="131"/>
      <c r="L634" s="131"/>
      <c r="M634" s="131">
        <v>0</v>
      </c>
      <c r="N634" s="131"/>
      <c r="O634" s="131"/>
      <c r="P634" s="131">
        <v>0</v>
      </c>
    </row>
    <row r="635" spans="1:16" ht="51.75" x14ac:dyDescent="0.25">
      <c r="A635" s="81"/>
      <c r="B635" s="81"/>
      <c r="C635" s="4" t="s">
        <v>174</v>
      </c>
      <c r="D635" s="7"/>
      <c r="E635" s="3" t="s">
        <v>175</v>
      </c>
      <c r="F635" s="130"/>
      <c r="G635" s="130"/>
      <c r="H635" s="130"/>
      <c r="I635" s="146">
        <v>144.30000000000001</v>
      </c>
      <c r="J635" s="130">
        <f t="shared" si="134"/>
        <v>144.30000000000001</v>
      </c>
      <c r="K635" s="130"/>
      <c r="L635" s="130"/>
      <c r="M635" s="130">
        <v>0</v>
      </c>
      <c r="N635" s="130"/>
      <c r="O635" s="130"/>
      <c r="P635" s="130">
        <v>0</v>
      </c>
    </row>
    <row r="636" spans="1:16" ht="26.25" x14ac:dyDescent="0.25">
      <c r="A636" s="81"/>
      <c r="B636" s="81"/>
      <c r="C636" s="4"/>
      <c r="D636" s="7" t="s">
        <v>608</v>
      </c>
      <c r="E636" s="3" t="s">
        <v>609</v>
      </c>
      <c r="F636" s="130"/>
      <c r="G636" s="130"/>
      <c r="H636" s="130"/>
      <c r="I636" s="146">
        <v>144.30000000000001</v>
      </c>
      <c r="J636" s="130">
        <f>I636</f>
        <v>144.30000000000001</v>
      </c>
      <c r="K636" s="130"/>
      <c r="L636" s="130"/>
      <c r="M636" s="130">
        <v>0</v>
      </c>
      <c r="N636" s="130"/>
      <c r="O636" s="130"/>
      <c r="P636" s="130">
        <v>0</v>
      </c>
    </row>
    <row r="637" spans="1:16" ht="14.45" x14ac:dyDescent="0.3">
      <c r="A637" s="80"/>
      <c r="B637" s="18" t="s">
        <v>687</v>
      </c>
      <c r="C637" s="86"/>
      <c r="D637" s="18"/>
      <c r="E637" s="90" t="s">
        <v>789</v>
      </c>
      <c r="F637" s="137">
        <f>F638</f>
        <v>6018.2999999999993</v>
      </c>
      <c r="G637" s="137"/>
      <c r="H637" s="137">
        <f t="shared" ref="H637:J640" si="135">H638</f>
        <v>5953.0812199999991</v>
      </c>
      <c r="I637" s="137">
        <f t="shared" si="135"/>
        <v>0</v>
      </c>
      <c r="J637" s="137">
        <f t="shared" si="135"/>
        <v>5953.0812199999991</v>
      </c>
      <c r="K637" s="137">
        <f t="shared" ref="K637:P639" si="136">K638</f>
        <v>6325.5</v>
      </c>
      <c r="L637" s="137"/>
      <c r="M637" s="137">
        <f t="shared" si="136"/>
        <v>6325.5</v>
      </c>
      <c r="N637" s="137">
        <f t="shared" si="136"/>
        <v>6757.1</v>
      </c>
      <c r="O637" s="137"/>
      <c r="P637" s="137">
        <f t="shared" si="136"/>
        <v>6757.1</v>
      </c>
    </row>
    <row r="638" spans="1:16" ht="14.45" x14ac:dyDescent="0.3">
      <c r="A638" s="80"/>
      <c r="B638" s="18"/>
      <c r="C638" s="86" t="s">
        <v>688</v>
      </c>
      <c r="D638" s="18"/>
      <c r="E638" s="8" t="s">
        <v>642</v>
      </c>
      <c r="F638" s="137">
        <f>F639</f>
        <v>6018.2999999999993</v>
      </c>
      <c r="G638" s="137"/>
      <c r="H638" s="137">
        <f t="shared" si="135"/>
        <v>5953.0812199999991</v>
      </c>
      <c r="I638" s="137">
        <f t="shared" si="135"/>
        <v>0</v>
      </c>
      <c r="J638" s="137">
        <f t="shared" si="135"/>
        <v>5953.0812199999991</v>
      </c>
      <c r="K638" s="137">
        <f t="shared" si="136"/>
        <v>6325.5</v>
      </c>
      <c r="L638" s="137"/>
      <c r="M638" s="137">
        <f t="shared" si="136"/>
        <v>6325.5</v>
      </c>
      <c r="N638" s="137">
        <f t="shared" si="136"/>
        <v>6757.1</v>
      </c>
      <c r="O638" s="137"/>
      <c r="P638" s="137">
        <f t="shared" si="136"/>
        <v>6757.1</v>
      </c>
    </row>
    <row r="639" spans="1:16" ht="26.45" x14ac:dyDescent="0.3">
      <c r="A639" s="93"/>
      <c r="B639" s="94"/>
      <c r="C639" s="95" t="s">
        <v>65</v>
      </c>
      <c r="D639" s="94"/>
      <c r="E639" s="96" t="s">
        <v>66</v>
      </c>
      <c r="F639" s="138">
        <f>F640</f>
        <v>6018.2999999999993</v>
      </c>
      <c r="G639" s="138"/>
      <c r="H639" s="138">
        <f t="shared" si="135"/>
        <v>5953.0812199999991</v>
      </c>
      <c r="I639" s="138">
        <f t="shared" si="135"/>
        <v>0</v>
      </c>
      <c r="J639" s="138">
        <f t="shared" si="135"/>
        <v>5953.0812199999991</v>
      </c>
      <c r="K639" s="138">
        <f t="shared" si="136"/>
        <v>6325.5</v>
      </c>
      <c r="L639" s="138"/>
      <c r="M639" s="138">
        <f t="shared" si="136"/>
        <v>6325.5</v>
      </c>
      <c r="N639" s="138">
        <f t="shared" si="136"/>
        <v>6757.1</v>
      </c>
      <c r="O639" s="138"/>
      <c r="P639" s="138">
        <f t="shared" si="136"/>
        <v>6757.1</v>
      </c>
    </row>
    <row r="640" spans="1:16" ht="27" x14ac:dyDescent="0.3">
      <c r="A640" s="34"/>
      <c r="B640" s="34"/>
      <c r="C640" s="34" t="s">
        <v>138</v>
      </c>
      <c r="D640" s="34"/>
      <c r="E640" s="38" t="s">
        <v>139</v>
      </c>
      <c r="F640" s="139">
        <f>F641</f>
        <v>6018.2999999999993</v>
      </c>
      <c r="G640" s="139"/>
      <c r="H640" s="139">
        <f t="shared" si="135"/>
        <v>5953.0812199999991</v>
      </c>
      <c r="I640" s="139">
        <f t="shared" si="135"/>
        <v>0</v>
      </c>
      <c r="J640" s="139">
        <f t="shared" si="135"/>
        <v>5953.0812199999991</v>
      </c>
      <c r="K640" s="139">
        <f>K641</f>
        <v>6325.5</v>
      </c>
      <c r="L640" s="139"/>
      <c r="M640" s="139">
        <f>M641</f>
        <v>6325.5</v>
      </c>
      <c r="N640" s="139">
        <f>N641</f>
        <v>6757.1</v>
      </c>
      <c r="O640" s="139"/>
      <c r="P640" s="139">
        <f>P641</f>
        <v>6757.1</v>
      </c>
    </row>
    <row r="641" spans="1:18" ht="27" x14ac:dyDescent="0.3">
      <c r="A641" s="36"/>
      <c r="B641" s="36"/>
      <c r="C641" s="36" t="s">
        <v>140</v>
      </c>
      <c r="D641" s="36"/>
      <c r="E641" s="37" t="s">
        <v>141</v>
      </c>
      <c r="F641" s="131">
        <f>F646+F642+F644</f>
        <v>6018.2999999999993</v>
      </c>
      <c r="G641" s="131"/>
      <c r="H641" s="131">
        <f>H646+H642+H644</f>
        <v>5953.0812199999991</v>
      </c>
      <c r="I641" s="131">
        <f>I646+I642+I644</f>
        <v>0</v>
      </c>
      <c r="J641" s="131">
        <f>J646+J642+J644</f>
        <v>5953.0812199999991</v>
      </c>
      <c r="K641" s="131">
        <f>K646+K642+K644</f>
        <v>6325.5</v>
      </c>
      <c r="L641" s="131"/>
      <c r="M641" s="131">
        <f>M646+M642+M644</f>
        <v>6325.5</v>
      </c>
      <c r="N641" s="131">
        <f>N646+N642+N644</f>
        <v>6757.1</v>
      </c>
      <c r="O641" s="131"/>
      <c r="P641" s="131">
        <f>P646+P642+P644</f>
        <v>6757.1</v>
      </c>
    </row>
    <row r="642" spans="1:18" ht="27" x14ac:dyDescent="0.3">
      <c r="A642" s="81"/>
      <c r="B642" s="81"/>
      <c r="C642" s="7" t="s">
        <v>142</v>
      </c>
      <c r="D642" s="7"/>
      <c r="E642" s="3" t="s">
        <v>143</v>
      </c>
      <c r="F642" s="130">
        <v>105.7</v>
      </c>
      <c r="G642" s="130"/>
      <c r="H642" s="130">
        <f>H643</f>
        <v>40.481220000000008</v>
      </c>
      <c r="I642" s="130">
        <f>I643</f>
        <v>0</v>
      </c>
      <c r="J642" s="130">
        <f>J643</f>
        <v>40.481220000000008</v>
      </c>
      <c r="K642" s="130">
        <v>109.9</v>
      </c>
      <c r="L642" s="130"/>
      <c r="M642" s="130">
        <v>109.9</v>
      </c>
      <c r="N642" s="130">
        <v>114.3</v>
      </c>
      <c r="O642" s="130"/>
      <c r="P642" s="130">
        <v>114.3</v>
      </c>
    </row>
    <row r="643" spans="1:18" ht="27" x14ac:dyDescent="0.3">
      <c r="A643" s="81"/>
      <c r="B643" s="81"/>
      <c r="C643" s="7"/>
      <c r="D643" s="7" t="s">
        <v>608</v>
      </c>
      <c r="E643" s="3" t="s">
        <v>609</v>
      </c>
      <c r="F643" s="130">
        <v>105.7</v>
      </c>
      <c r="G643" s="130"/>
      <c r="H643" s="130">
        <v>40.481220000000008</v>
      </c>
      <c r="I643" s="130"/>
      <c r="J643" s="130">
        <f>105.7-65.21878</f>
        <v>40.481220000000008</v>
      </c>
      <c r="K643" s="130">
        <v>109.9</v>
      </c>
      <c r="L643" s="130"/>
      <c r="M643" s="130">
        <v>109.9</v>
      </c>
      <c r="N643" s="130">
        <v>114.3</v>
      </c>
      <c r="O643" s="130"/>
      <c r="P643" s="130">
        <v>114.3</v>
      </c>
    </row>
    <row r="644" spans="1:18" ht="27" x14ac:dyDescent="0.3">
      <c r="A644" s="81"/>
      <c r="B644" s="81"/>
      <c r="C644" s="7" t="s">
        <v>144</v>
      </c>
      <c r="D644" s="7"/>
      <c r="E644" s="3" t="s">
        <v>145</v>
      </c>
      <c r="F644" s="130">
        <f>F645</f>
        <v>1492.2</v>
      </c>
      <c r="G644" s="130"/>
      <c r="H644" s="130">
        <f>H645</f>
        <v>1492.2</v>
      </c>
      <c r="I644" s="130"/>
      <c r="J644" s="130">
        <f>J645</f>
        <v>1492.2</v>
      </c>
      <c r="K644" s="130">
        <f>K645</f>
        <v>1551.9</v>
      </c>
      <c r="L644" s="130"/>
      <c r="M644" s="130">
        <f>M645</f>
        <v>1551.9</v>
      </c>
      <c r="N644" s="130">
        <f>N645</f>
        <v>1614.1</v>
      </c>
      <c r="O644" s="130"/>
      <c r="P644" s="130">
        <f>P645</f>
        <v>1614.1</v>
      </c>
    </row>
    <row r="645" spans="1:18" ht="27" x14ac:dyDescent="0.3">
      <c r="A645" s="81"/>
      <c r="B645" s="81"/>
      <c r="C645" s="7"/>
      <c r="D645" s="7" t="s">
        <v>608</v>
      </c>
      <c r="E645" s="3" t="s">
        <v>609</v>
      </c>
      <c r="F645" s="130">
        <f>1605.7-113.5</f>
        <v>1492.2</v>
      </c>
      <c r="G645" s="130"/>
      <c r="H645" s="130">
        <f>1605.7-113.5</f>
        <v>1492.2</v>
      </c>
      <c r="I645" s="130"/>
      <c r="J645" s="130">
        <f>1605.7-113.5</f>
        <v>1492.2</v>
      </c>
      <c r="K645" s="130">
        <f>1670-118.1</f>
        <v>1551.9</v>
      </c>
      <c r="L645" s="130"/>
      <c r="M645" s="130">
        <f>1670-118.1</f>
        <v>1551.9</v>
      </c>
      <c r="N645" s="130">
        <f>1736.8-122.7</f>
        <v>1614.1</v>
      </c>
      <c r="O645" s="130"/>
      <c r="P645" s="130">
        <f>1736.8-122.7</f>
        <v>1614.1</v>
      </c>
    </row>
    <row r="646" spans="1:18" ht="40.15" x14ac:dyDescent="0.3">
      <c r="A646" s="81"/>
      <c r="B646" s="81"/>
      <c r="C646" s="7" t="s">
        <v>146</v>
      </c>
      <c r="D646" s="7"/>
      <c r="E646" s="3" t="s">
        <v>147</v>
      </c>
      <c r="F646" s="130">
        <v>4420.3999999999996</v>
      </c>
      <c r="G646" s="130"/>
      <c r="H646" s="130">
        <v>4420.3999999999996</v>
      </c>
      <c r="I646" s="130"/>
      <c r="J646" s="130">
        <v>4420.3999999999996</v>
      </c>
      <c r="K646" s="130">
        <v>4663.7</v>
      </c>
      <c r="L646" s="130"/>
      <c r="M646" s="130">
        <v>4663.7</v>
      </c>
      <c r="N646" s="130">
        <v>5028.7</v>
      </c>
      <c r="O646" s="130"/>
      <c r="P646" s="130">
        <v>5028.7</v>
      </c>
    </row>
    <row r="647" spans="1:18" ht="14.45" x14ac:dyDescent="0.3">
      <c r="A647" s="81"/>
      <c r="B647" s="81"/>
      <c r="C647" s="7"/>
      <c r="D647" s="7" t="s">
        <v>534</v>
      </c>
      <c r="E647" s="3" t="s">
        <v>535</v>
      </c>
      <c r="F647" s="130">
        <v>73</v>
      </c>
      <c r="G647" s="130"/>
      <c r="H647" s="130">
        <v>73</v>
      </c>
      <c r="I647" s="130"/>
      <c r="J647" s="130">
        <v>73</v>
      </c>
      <c r="K647" s="130">
        <v>73</v>
      </c>
      <c r="L647" s="130"/>
      <c r="M647" s="130">
        <v>73</v>
      </c>
      <c r="N647" s="130">
        <v>73</v>
      </c>
      <c r="O647" s="130"/>
      <c r="P647" s="130">
        <v>73</v>
      </c>
    </row>
    <row r="648" spans="1:18" ht="27" x14ac:dyDescent="0.3">
      <c r="A648" s="81"/>
      <c r="B648" s="81"/>
      <c r="C648" s="7"/>
      <c r="D648" s="7" t="s">
        <v>608</v>
      </c>
      <c r="E648" s="3" t="s">
        <v>609</v>
      </c>
      <c r="F648" s="130">
        <v>4269.5999999999995</v>
      </c>
      <c r="G648" s="130"/>
      <c r="H648" s="130">
        <v>4269.5999999999995</v>
      </c>
      <c r="I648" s="130"/>
      <c r="J648" s="130">
        <v>4269.5999999999995</v>
      </c>
      <c r="K648" s="130">
        <v>4512.8999999999996</v>
      </c>
      <c r="L648" s="130"/>
      <c r="M648" s="130">
        <v>4512.8999999999996</v>
      </c>
      <c r="N648" s="130">
        <v>4877.8999999999996</v>
      </c>
      <c r="O648" s="130"/>
      <c r="P648" s="130">
        <v>4877.8999999999996</v>
      </c>
    </row>
    <row r="649" spans="1:18" ht="14.45" x14ac:dyDescent="0.3">
      <c r="A649" s="81"/>
      <c r="B649" s="81"/>
      <c r="C649" s="7"/>
      <c r="D649" s="7" t="s">
        <v>513</v>
      </c>
      <c r="E649" s="3" t="s">
        <v>514</v>
      </c>
      <c r="F649" s="130">
        <v>77.8</v>
      </c>
      <c r="G649" s="130"/>
      <c r="H649" s="130">
        <v>77.8</v>
      </c>
      <c r="I649" s="130"/>
      <c r="J649" s="130">
        <v>77.8</v>
      </c>
      <c r="K649" s="130">
        <v>77.8</v>
      </c>
      <c r="L649" s="130"/>
      <c r="M649" s="130">
        <v>77.8</v>
      </c>
      <c r="N649" s="130">
        <v>77.8</v>
      </c>
      <c r="O649" s="130"/>
      <c r="P649" s="130">
        <v>77.8</v>
      </c>
    </row>
    <row r="650" spans="1:18" ht="14.45" x14ac:dyDescent="0.3">
      <c r="A650" s="80"/>
      <c r="B650" s="18" t="s">
        <v>685</v>
      </c>
      <c r="C650" s="86"/>
      <c r="D650" s="18"/>
      <c r="E650" s="90" t="s">
        <v>686</v>
      </c>
      <c r="F650" s="137">
        <f t="shared" ref="F650:K650" si="137">F651</f>
        <v>6987.5</v>
      </c>
      <c r="G650" s="137">
        <f t="shared" si="137"/>
        <v>-93.1</v>
      </c>
      <c r="H650" s="137">
        <f t="shared" si="137"/>
        <v>7064.1999999999989</v>
      </c>
      <c r="I650" s="137">
        <f t="shared" si="137"/>
        <v>0</v>
      </c>
      <c r="J650" s="137">
        <f t="shared" si="137"/>
        <v>7064.1999999999989</v>
      </c>
      <c r="K650" s="137">
        <f t="shared" si="137"/>
        <v>7259.6</v>
      </c>
      <c r="L650" s="137">
        <f>L651</f>
        <v>0</v>
      </c>
      <c r="M650" s="137">
        <f>M651</f>
        <v>7259.6</v>
      </c>
      <c r="N650" s="137">
        <f>N651</f>
        <v>7385.3</v>
      </c>
      <c r="O650" s="137">
        <f>O651</f>
        <v>0</v>
      </c>
      <c r="P650" s="137">
        <f>P651</f>
        <v>7385.3</v>
      </c>
    </row>
    <row r="651" spans="1:18" ht="26.45" x14ac:dyDescent="0.3">
      <c r="A651" s="80"/>
      <c r="B651" s="18"/>
      <c r="C651" s="86" t="s">
        <v>6</v>
      </c>
      <c r="D651" s="18"/>
      <c r="E651" s="90" t="s">
        <v>7</v>
      </c>
      <c r="F651" s="137">
        <f t="shared" ref="F651:K651" si="138">F652+F658</f>
        <v>6987.5</v>
      </c>
      <c r="G651" s="137">
        <f t="shared" si="138"/>
        <v>-93.1</v>
      </c>
      <c r="H651" s="137">
        <f t="shared" si="138"/>
        <v>7064.1999999999989</v>
      </c>
      <c r="I651" s="137">
        <f t="shared" si="138"/>
        <v>0</v>
      </c>
      <c r="J651" s="137">
        <f t="shared" si="138"/>
        <v>7064.1999999999989</v>
      </c>
      <c r="K651" s="137">
        <f t="shared" si="138"/>
        <v>7259.6</v>
      </c>
      <c r="L651" s="137">
        <f>L652+L658</f>
        <v>0</v>
      </c>
      <c r="M651" s="137">
        <f>M652+M658</f>
        <v>7259.6</v>
      </c>
      <c r="N651" s="137">
        <f>N652+N658</f>
        <v>7385.3</v>
      </c>
      <c r="O651" s="137">
        <f>O652+O658</f>
        <v>0</v>
      </c>
      <c r="P651" s="137">
        <f>P652+P658</f>
        <v>7385.3</v>
      </c>
    </row>
    <row r="652" spans="1:18" ht="39.6" x14ac:dyDescent="0.3">
      <c r="A652" s="93"/>
      <c r="B652" s="94"/>
      <c r="C652" s="95" t="s">
        <v>8</v>
      </c>
      <c r="D652" s="94"/>
      <c r="E652" s="96" t="s">
        <v>9</v>
      </c>
      <c r="F652" s="138">
        <f t="shared" ref="F652:J654" si="139">F653</f>
        <v>6019</v>
      </c>
      <c r="G652" s="138">
        <f t="shared" si="139"/>
        <v>-93.1</v>
      </c>
      <c r="H652" s="138">
        <f t="shared" si="139"/>
        <v>6095.6999999999989</v>
      </c>
      <c r="I652" s="138">
        <f t="shared" si="139"/>
        <v>0</v>
      </c>
      <c r="J652" s="138">
        <f t="shared" si="139"/>
        <v>6095.6999999999989</v>
      </c>
      <c r="K652" s="138">
        <f t="shared" ref="K652:P654" si="140">K653</f>
        <v>6272.7</v>
      </c>
      <c r="L652" s="138">
        <f t="shared" si="140"/>
        <v>0</v>
      </c>
      <c r="M652" s="138">
        <f t="shared" si="140"/>
        <v>6272.7</v>
      </c>
      <c r="N652" s="138">
        <f t="shared" si="140"/>
        <v>6377.1</v>
      </c>
      <c r="O652" s="138">
        <f t="shared" si="140"/>
        <v>0</v>
      </c>
      <c r="P652" s="138">
        <f t="shared" si="140"/>
        <v>6377.1</v>
      </c>
    </row>
    <row r="653" spans="1:18" ht="40.15" x14ac:dyDescent="0.3">
      <c r="A653" s="34"/>
      <c r="B653" s="34"/>
      <c r="C653" s="34" t="s">
        <v>25</v>
      </c>
      <c r="D653" s="34"/>
      <c r="E653" s="38" t="s">
        <v>26</v>
      </c>
      <c r="F653" s="139">
        <f t="shared" si="139"/>
        <v>6019</v>
      </c>
      <c r="G653" s="139">
        <f t="shared" si="139"/>
        <v>-93.1</v>
      </c>
      <c r="H653" s="139">
        <f t="shared" si="139"/>
        <v>6095.6999999999989</v>
      </c>
      <c r="I653" s="139">
        <f t="shared" si="139"/>
        <v>0</v>
      </c>
      <c r="J653" s="139">
        <f t="shared" si="139"/>
        <v>6095.6999999999989</v>
      </c>
      <c r="K653" s="139">
        <f t="shared" si="140"/>
        <v>6272.7</v>
      </c>
      <c r="L653" s="139">
        <f t="shared" si="140"/>
        <v>0</v>
      </c>
      <c r="M653" s="139">
        <f t="shared" si="140"/>
        <v>6272.7</v>
      </c>
      <c r="N653" s="139">
        <f t="shared" si="140"/>
        <v>6377.1</v>
      </c>
      <c r="O653" s="139">
        <f t="shared" si="140"/>
        <v>0</v>
      </c>
      <c r="P653" s="139">
        <f t="shared" si="140"/>
        <v>6377.1</v>
      </c>
    </row>
    <row r="654" spans="1:18" ht="40.15" x14ac:dyDescent="0.3">
      <c r="A654" s="36"/>
      <c r="B654" s="36"/>
      <c r="C654" s="36" t="s">
        <v>27</v>
      </c>
      <c r="D654" s="36"/>
      <c r="E654" s="37" t="s">
        <v>28</v>
      </c>
      <c r="F654" s="131">
        <f t="shared" si="139"/>
        <v>6019</v>
      </c>
      <c r="G654" s="131">
        <f t="shared" si="139"/>
        <v>-93.1</v>
      </c>
      <c r="H654" s="131">
        <f t="shared" si="139"/>
        <v>6095.6999999999989</v>
      </c>
      <c r="I654" s="131">
        <f t="shared" si="139"/>
        <v>0</v>
      </c>
      <c r="J654" s="131">
        <f t="shared" si="139"/>
        <v>6095.6999999999989</v>
      </c>
      <c r="K654" s="131">
        <f t="shared" si="140"/>
        <v>6272.7</v>
      </c>
      <c r="L654" s="131">
        <f t="shared" si="140"/>
        <v>0</v>
      </c>
      <c r="M654" s="131">
        <f t="shared" si="140"/>
        <v>6272.7</v>
      </c>
      <c r="N654" s="131">
        <f t="shared" si="140"/>
        <v>6377.1</v>
      </c>
      <c r="O654" s="131">
        <f t="shared" si="140"/>
        <v>0</v>
      </c>
      <c r="P654" s="131">
        <f t="shared" si="140"/>
        <v>6377.1</v>
      </c>
    </row>
    <row r="655" spans="1:18" ht="26.45" x14ac:dyDescent="0.3">
      <c r="A655" s="81"/>
      <c r="B655" s="81"/>
      <c r="C655" s="7" t="s">
        <v>31</v>
      </c>
      <c r="D655" s="7"/>
      <c r="E655" s="1" t="s">
        <v>32</v>
      </c>
      <c r="F655" s="130">
        <f>F656+F657</f>
        <v>6019</v>
      </c>
      <c r="G655" s="130">
        <f>G656+G657</f>
        <v>-93.1</v>
      </c>
      <c r="H655" s="130">
        <f>H656+H657</f>
        <v>6095.6999999999989</v>
      </c>
      <c r="I655" s="130">
        <f>I656</f>
        <v>0</v>
      </c>
      <c r="J655" s="130">
        <f>J656+J657</f>
        <v>6095.6999999999989</v>
      </c>
      <c r="K655" s="130">
        <f>K656+K657</f>
        <v>6272.7</v>
      </c>
      <c r="L655" s="130">
        <f>L656+L657</f>
        <v>0</v>
      </c>
      <c r="M655" s="130">
        <f>M656+M657</f>
        <v>6272.7</v>
      </c>
      <c r="N655" s="130">
        <f>N656+N657</f>
        <v>6377.1</v>
      </c>
      <c r="O655" s="130">
        <f>O656</f>
        <v>0</v>
      </c>
      <c r="P655" s="130">
        <f>P656+P657</f>
        <v>6377.1</v>
      </c>
      <c r="R655" s="45"/>
    </row>
    <row r="656" spans="1:18" ht="40.15" x14ac:dyDescent="0.3">
      <c r="A656" s="81"/>
      <c r="B656" s="81"/>
      <c r="C656" s="7"/>
      <c r="D656" s="7" t="s">
        <v>505</v>
      </c>
      <c r="E656" s="3" t="s">
        <v>506</v>
      </c>
      <c r="F656" s="130">
        <v>5804</v>
      </c>
      <c r="G656" s="130">
        <v>-88.5</v>
      </c>
      <c r="H656" s="130">
        <v>5885.2999999999993</v>
      </c>
      <c r="I656" s="130"/>
      <c r="J656" s="130">
        <f>SUM(H656:I656)</f>
        <v>5885.2999999999993</v>
      </c>
      <c r="K656" s="130">
        <v>6168.3</v>
      </c>
      <c r="L656" s="130"/>
      <c r="M656" s="130">
        <f>SUM(K656:L656)</f>
        <v>6168.3</v>
      </c>
      <c r="N656" s="130">
        <v>6168.3</v>
      </c>
      <c r="O656" s="130"/>
      <c r="P656" s="130">
        <f>SUM(N656:O656)</f>
        <v>6168.3</v>
      </c>
    </row>
    <row r="657" spans="1:16" ht="27" x14ac:dyDescent="0.3">
      <c r="A657" s="81"/>
      <c r="B657" s="81"/>
      <c r="C657" s="7"/>
      <c r="D657" s="7" t="s">
        <v>336</v>
      </c>
      <c r="E657" s="3" t="s">
        <v>337</v>
      </c>
      <c r="F657" s="130">
        <v>215</v>
      </c>
      <c r="G657" s="130">
        <v>-4.5999999999999996</v>
      </c>
      <c r="H657" s="130">
        <f>F657+G657</f>
        <v>210.4</v>
      </c>
      <c r="I657" s="130"/>
      <c r="J657" s="130">
        <f>H657+I657</f>
        <v>210.4</v>
      </c>
      <c r="K657" s="130">
        <v>104.4</v>
      </c>
      <c r="L657" s="130"/>
      <c r="M657" s="130">
        <f>215-6.2-104.4</f>
        <v>104.4</v>
      </c>
      <c r="N657" s="130">
        <f>215-6.2</f>
        <v>208.8</v>
      </c>
      <c r="O657" s="130"/>
      <c r="P657" s="130">
        <f>215-6.2</f>
        <v>208.8</v>
      </c>
    </row>
    <row r="658" spans="1:16" ht="26.45" x14ac:dyDescent="0.3">
      <c r="A658" s="93"/>
      <c r="B658" s="94"/>
      <c r="C658" s="95" t="s">
        <v>65</v>
      </c>
      <c r="D658" s="94"/>
      <c r="E658" s="96" t="s">
        <v>66</v>
      </c>
      <c r="F658" s="138">
        <f>F659+F671+F677</f>
        <v>968.5</v>
      </c>
      <c r="G658" s="138"/>
      <c r="H658" s="138">
        <f>H659+H671+H677</f>
        <v>968.5</v>
      </c>
      <c r="I658" s="138"/>
      <c r="J658" s="138">
        <f>J659+J671+J677</f>
        <v>968.5</v>
      </c>
      <c r="K658" s="138">
        <f>K659+K671+K677</f>
        <v>986.90000000000009</v>
      </c>
      <c r="L658" s="138"/>
      <c r="M658" s="138">
        <f>M659+M671+M677</f>
        <v>986.90000000000009</v>
      </c>
      <c r="N658" s="138">
        <f>N659+N671+N677</f>
        <v>1008.1999999999999</v>
      </c>
      <c r="O658" s="138"/>
      <c r="P658" s="138">
        <f>P659+P671+P677</f>
        <v>1008.1999999999999</v>
      </c>
    </row>
    <row r="659" spans="1:16" ht="14.45" x14ac:dyDescent="0.3">
      <c r="A659" s="34"/>
      <c r="B659" s="34"/>
      <c r="C659" s="34" t="s">
        <v>122</v>
      </c>
      <c r="D659" s="34"/>
      <c r="E659" s="38" t="s">
        <v>123</v>
      </c>
      <c r="F659" s="139">
        <f>F660</f>
        <v>688.3</v>
      </c>
      <c r="G659" s="139"/>
      <c r="H659" s="139">
        <f>H660</f>
        <v>688.3</v>
      </c>
      <c r="I659" s="139"/>
      <c r="J659" s="139">
        <f>J660</f>
        <v>688.3</v>
      </c>
      <c r="K659" s="139">
        <f>K660</f>
        <v>700.90000000000009</v>
      </c>
      <c r="L659" s="139"/>
      <c r="M659" s="139">
        <f>M660</f>
        <v>700.90000000000009</v>
      </c>
      <c r="N659" s="139">
        <f>N660</f>
        <v>716.3</v>
      </c>
      <c r="O659" s="139"/>
      <c r="P659" s="139">
        <f>P660</f>
        <v>716.3</v>
      </c>
    </row>
    <row r="660" spans="1:16" ht="27" x14ac:dyDescent="0.3">
      <c r="A660" s="36"/>
      <c r="B660" s="36"/>
      <c r="C660" s="36" t="s">
        <v>124</v>
      </c>
      <c r="D660" s="36"/>
      <c r="E660" s="37" t="s">
        <v>125</v>
      </c>
      <c r="F660" s="131">
        <f>F661+F663+F665+F667+F669</f>
        <v>688.3</v>
      </c>
      <c r="G660" s="131"/>
      <c r="H660" s="131">
        <f>H661+H663+H665+H667+H669</f>
        <v>688.3</v>
      </c>
      <c r="I660" s="131"/>
      <c r="J660" s="131">
        <f>J661+J663+J665+J667+J669</f>
        <v>688.3</v>
      </c>
      <c r="K660" s="131">
        <f>K661+K663+K665+K667+K669</f>
        <v>700.90000000000009</v>
      </c>
      <c r="L660" s="131"/>
      <c r="M660" s="131">
        <f>M661+M663+M665+M667+M669</f>
        <v>700.90000000000009</v>
      </c>
      <c r="N660" s="131">
        <f>N661+N663+N665+N667+N669</f>
        <v>716.3</v>
      </c>
      <c r="O660" s="131"/>
      <c r="P660" s="131">
        <f>P661+P663+P665+P667+P669</f>
        <v>716.3</v>
      </c>
    </row>
    <row r="661" spans="1:16" ht="14.45" x14ac:dyDescent="0.3">
      <c r="A661" s="81"/>
      <c r="B661" s="81"/>
      <c r="C661" s="7" t="s">
        <v>129</v>
      </c>
      <c r="D661" s="7"/>
      <c r="E661" s="3" t="s">
        <v>130</v>
      </c>
      <c r="F661" s="130">
        <v>274.2</v>
      </c>
      <c r="G661" s="130"/>
      <c r="H661" s="130">
        <v>274.2</v>
      </c>
      <c r="I661" s="130"/>
      <c r="J661" s="130">
        <v>274.2</v>
      </c>
      <c r="K661" s="130">
        <v>278.2</v>
      </c>
      <c r="L661" s="130"/>
      <c r="M661" s="130">
        <v>278.2</v>
      </c>
      <c r="N661" s="130">
        <v>282.39999999999998</v>
      </c>
      <c r="O661" s="130"/>
      <c r="P661" s="130">
        <v>282.39999999999998</v>
      </c>
    </row>
    <row r="662" spans="1:16" ht="27" x14ac:dyDescent="0.3">
      <c r="A662" s="81"/>
      <c r="B662" s="81"/>
      <c r="C662" s="7"/>
      <c r="D662" s="7" t="s">
        <v>608</v>
      </c>
      <c r="E662" s="3" t="s">
        <v>609</v>
      </c>
      <c r="F662" s="130">
        <v>274.2</v>
      </c>
      <c r="G662" s="130"/>
      <c r="H662" s="130">
        <v>274.2</v>
      </c>
      <c r="I662" s="130"/>
      <c r="J662" s="130">
        <v>274.2</v>
      </c>
      <c r="K662" s="130">
        <v>278.2</v>
      </c>
      <c r="L662" s="130"/>
      <c r="M662" s="130">
        <v>278.2</v>
      </c>
      <c r="N662" s="130">
        <v>282.39999999999998</v>
      </c>
      <c r="O662" s="130"/>
      <c r="P662" s="130">
        <v>282.39999999999998</v>
      </c>
    </row>
    <row r="663" spans="1:16" ht="14.45" x14ac:dyDescent="0.3">
      <c r="A663" s="81"/>
      <c r="B663" s="81"/>
      <c r="C663" s="7" t="s">
        <v>131</v>
      </c>
      <c r="D663" s="7"/>
      <c r="E663" s="3" t="s">
        <v>132</v>
      </c>
      <c r="F663" s="130">
        <v>100.1</v>
      </c>
      <c r="G663" s="130"/>
      <c r="H663" s="130">
        <v>100.1</v>
      </c>
      <c r="I663" s="130"/>
      <c r="J663" s="130">
        <v>100.1</v>
      </c>
      <c r="K663" s="130">
        <v>100.7</v>
      </c>
      <c r="L663" s="130"/>
      <c r="M663" s="130">
        <v>100.7</v>
      </c>
      <c r="N663" s="130">
        <v>101.4</v>
      </c>
      <c r="O663" s="130"/>
      <c r="P663" s="130">
        <v>101.4</v>
      </c>
    </row>
    <row r="664" spans="1:16" ht="27" x14ac:dyDescent="0.3">
      <c r="A664" s="81"/>
      <c r="B664" s="81"/>
      <c r="C664" s="7"/>
      <c r="D664" s="7" t="s">
        <v>608</v>
      </c>
      <c r="E664" s="3" t="s">
        <v>609</v>
      </c>
      <c r="F664" s="130">
        <v>100.1</v>
      </c>
      <c r="G664" s="130"/>
      <c r="H664" s="130">
        <v>100.1</v>
      </c>
      <c r="I664" s="130"/>
      <c r="J664" s="130">
        <v>100.1</v>
      </c>
      <c r="K664" s="130">
        <v>100.7</v>
      </c>
      <c r="L664" s="130"/>
      <c r="M664" s="130">
        <v>100.7</v>
      </c>
      <c r="N664" s="130">
        <v>101.4</v>
      </c>
      <c r="O664" s="130"/>
      <c r="P664" s="130">
        <v>101.4</v>
      </c>
    </row>
    <row r="665" spans="1:16" ht="14.45" x14ac:dyDescent="0.3">
      <c r="A665" s="81"/>
      <c r="B665" s="81"/>
      <c r="C665" s="7" t="s">
        <v>133</v>
      </c>
      <c r="D665" s="7"/>
      <c r="E665" s="3" t="s">
        <v>134</v>
      </c>
      <c r="F665" s="130">
        <v>74.599999999999994</v>
      </c>
      <c r="G665" s="130"/>
      <c r="H665" s="130">
        <v>74.599999999999994</v>
      </c>
      <c r="I665" s="130"/>
      <c r="J665" s="130">
        <v>74.599999999999994</v>
      </c>
      <c r="K665" s="130">
        <v>76.8</v>
      </c>
      <c r="L665" s="130"/>
      <c r="M665" s="130">
        <v>76.8</v>
      </c>
      <c r="N665" s="130">
        <v>81.2</v>
      </c>
      <c r="O665" s="130"/>
      <c r="P665" s="130">
        <v>81.2</v>
      </c>
    </row>
    <row r="666" spans="1:16" ht="27" x14ac:dyDescent="0.3">
      <c r="A666" s="81"/>
      <c r="B666" s="81"/>
      <c r="C666" s="7"/>
      <c r="D666" s="7" t="s">
        <v>608</v>
      </c>
      <c r="E666" s="3" t="s">
        <v>609</v>
      </c>
      <c r="F666" s="130">
        <v>74.599999999999994</v>
      </c>
      <c r="G666" s="130"/>
      <c r="H666" s="130">
        <v>74.599999999999994</v>
      </c>
      <c r="I666" s="130"/>
      <c r="J666" s="130">
        <v>74.599999999999994</v>
      </c>
      <c r="K666" s="130">
        <v>76.8</v>
      </c>
      <c r="L666" s="130"/>
      <c r="M666" s="130">
        <v>76.8</v>
      </c>
      <c r="N666" s="130">
        <v>81.2</v>
      </c>
      <c r="O666" s="130"/>
      <c r="P666" s="130">
        <v>81.2</v>
      </c>
    </row>
    <row r="667" spans="1:16" ht="40.15" x14ac:dyDescent="0.3">
      <c r="A667" s="81"/>
      <c r="B667" s="81"/>
      <c r="C667" s="7" t="s">
        <v>135</v>
      </c>
      <c r="D667" s="7"/>
      <c r="E667" s="3" t="s">
        <v>136</v>
      </c>
      <c r="F667" s="130">
        <v>83.7</v>
      </c>
      <c r="G667" s="130"/>
      <c r="H667" s="130">
        <v>83.7</v>
      </c>
      <c r="I667" s="130"/>
      <c r="J667" s="130">
        <v>83.7</v>
      </c>
      <c r="K667" s="130">
        <v>85.4</v>
      </c>
      <c r="L667" s="130"/>
      <c r="M667" s="130">
        <v>85.4</v>
      </c>
      <c r="N667" s="130">
        <v>87.3</v>
      </c>
      <c r="O667" s="130"/>
      <c r="P667" s="130">
        <v>87.3</v>
      </c>
    </row>
    <row r="668" spans="1:16" ht="27" x14ac:dyDescent="0.3">
      <c r="A668" s="81"/>
      <c r="B668" s="81"/>
      <c r="C668" s="7"/>
      <c r="D668" s="7" t="s">
        <v>608</v>
      </c>
      <c r="E668" s="3" t="s">
        <v>609</v>
      </c>
      <c r="F668" s="130">
        <v>83.7</v>
      </c>
      <c r="G668" s="130"/>
      <c r="H668" s="130">
        <v>83.7</v>
      </c>
      <c r="I668" s="130"/>
      <c r="J668" s="130">
        <v>83.7</v>
      </c>
      <c r="K668" s="130">
        <v>85.4</v>
      </c>
      <c r="L668" s="130"/>
      <c r="M668" s="130">
        <v>85.4</v>
      </c>
      <c r="N668" s="130">
        <v>87.3</v>
      </c>
      <c r="O668" s="130"/>
      <c r="P668" s="130">
        <v>87.3</v>
      </c>
    </row>
    <row r="669" spans="1:16" ht="27" x14ac:dyDescent="0.3">
      <c r="A669" s="81"/>
      <c r="B669" s="81"/>
      <c r="C669" s="7" t="s">
        <v>552</v>
      </c>
      <c r="D669" s="7"/>
      <c r="E669" s="3" t="s">
        <v>137</v>
      </c>
      <c r="F669" s="130">
        <v>155.69999999999999</v>
      </c>
      <c r="G669" s="130"/>
      <c r="H669" s="130">
        <v>155.69999999999999</v>
      </c>
      <c r="I669" s="130"/>
      <c r="J669" s="130">
        <v>155.69999999999999</v>
      </c>
      <c r="K669" s="130">
        <v>159.80000000000001</v>
      </c>
      <c r="L669" s="130"/>
      <c r="M669" s="130">
        <v>159.80000000000001</v>
      </c>
      <c r="N669" s="130">
        <v>164</v>
      </c>
      <c r="O669" s="130"/>
      <c r="P669" s="130">
        <v>164</v>
      </c>
    </row>
    <row r="670" spans="1:16" ht="27" x14ac:dyDescent="0.3">
      <c r="A670" s="81"/>
      <c r="B670" s="81"/>
      <c r="C670" s="7"/>
      <c r="D670" s="7" t="s">
        <v>608</v>
      </c>
      <c r="E670" s="3" t="s">
        <v>609</v>
      </c>
      <c r="F670" s="130">
        <v>155.69999999999999</v>
      </c>
      <c r="G670" s="130"/>
      <c r="H670" s="130">
        <v>155.69999999999999</v>
      </c>
      <c r="I670" s="130"/>
      <c r="J670" s="130">
        <v>155.69999999999999</v>
      </c>
      <c r="K670" s="130">
        <v>159.80000000000001</v>
      </c>
      <c r="L670" s="130"/>
      <c r="M670" s="130">
        <v>159.80000000000001</v>
      </c>
      <c r="N670" s="130">
        <v>164</v>
      </c>
      <c r="O670" s="130"/>
      <c r="P670" s="130">
        <v>164</v>
      </c>
    </row>
    <row r="671" spans="1:16" ht="14.45" x14ac:dyDescent="0.3">
      <c r="A671" s="34"/>
      <c r="B671" s="34"/>
      <c r="C671" s="34" t="s">
        <v>148</v>
      </c>
      <c r="D671" s="34"/>
      <c r="E671" s="35" t="s">
        <v>149</v>
      </c>
      <c r="F671" s="139">
        <f>F672</f>
        <v>240</v>
      </c>
      <c r="G671" s="139"/>
      <c r="H671" s="139">
        <f>H672</f>
        <v>240</v>
      </c>
      <c r="I671" s="139"/>
      <c r="J671" s="139">
        <f>J672</f>
        <v>240</v>
      </c>
      <c r="K671" s="139">
        <f>K672</f>
        <v>245.2</v>
      </c>
      <c r="L671" s="139"/>
      <c r="M671" s="139">
        <f>M672</f>
        <v>245.2</v>
      </c>
      <c r="N671" s="139">
        <f>N672</f>
        <v>250.5</v>
      </c>
      <c r="O671" s="139"/>
      <c r="P671" s="139">
        <f>P672</f>
        <v>250.5</v>
      </c>
    </row>
    <row r="672" spans="1:16" ht="27" x14ac:dyDescent="0.3">
      <c r="A672" s="36"/>
      <c r="B672" s="36"/>
      <c r="C672" s="36" t="s">
        <v>150</v>
      </c>
      <c r="D672" s="36"/>
      <c r="E672" s="37" t="s">
        <v>151</v>
      </c>
      <c r="F672" s="131">
        <f>F675+F673</f>
        <v>240</v>
      </c>
      <c r="G672" s="131"/>
      <c r="H672" s="131">
        <f>H675+H673</f>
        <v>240</v>
      </c>
      <c r="I672" s="131"/>
      <c r="J672" s="131">
        <f>J675+J673</f>
        <v>240</v>
      </c>
      <c r="K672" s="131">
        <f>K675+K673</f>
        <v>245.2</v>
      </c>
      <c r="L672" s="131"/>
      <c r="M672" s="131">
        <f>M675+M673</f>
        <v>245.2</v>
      </c>
      <c r="N672" s="131">
        <f>N675+N673</f>
        <v>250.5</v>
      </c>
      <c r="O672" s="131"/>
      <c r="P672" s="131">
        <f>P675+P673</f>
        <v>250.5</v>
      </c>
    </row>
    <row r="673" spans="1:18" ht="14.45" x14ac:dyDescent="0.3">
      <c r="A673" s="46"/>
      <c r="B673" s="46"/>
      <c r="C673" s="46" t="s">
        <v>152</v>
      </c>
      <c r="D673" s="46"/>
      <c r="E673" s="47" t="s">
        <v>153</v>
      </c>
      <c r="F673" s="130">
        <v>133.69999999999999</v>
      </c>
      <c r="G673" s="130"/>
      <c r="H673" s="130">
        <v>133.69999999999999</v>
      </c>
      <c r="I673" s="130"/>
      <c r="J673" s="130">
        <v>133.69999999999999</v>
      </c>
      <c r="K673" s="130">
        <v>134.6</v>
      </c>
      <c r="L673" s="130"/>
      <c r="M673" s="130">
        <v>134.6</v>
      </c>
      <c r="N673" s="130">
        <v>135.5</v>
      </c>
      <c r="O673" s="130"/>
      <c r="P673" s="130">
        <v>135.5</v>
      </c>
      <c r="R673" s="45"/>
    </row>
    <row r="674" spans="1:18" ht="27" x14ac:dyDescent="0.3">
      <c r="A674" s="46"/>
      <c r="B674" s="46"/>
      <c r="C674" s="46"/>
      <c r="D674" s="46" t="s">
        <v>608</v>
      </c>
      <c r="E674" s="47" t="s">
        <v>609</v>
      </c>
      <c r="F674" s="130">
        <v>133.69999999999999</v>
      </c>
      <c r="G674" s="130"/>
      <c r="H674" s="130">
        <v>133.69999999999999</v>
      </c>
      <c r="I674" s="130"/>
      <c r="J674" s="130">
        <v>133.69999999999999</v>
      </c>
      <c r="K674" s="130">
        <v>134.6</v>
      </c>
      <c r="L674" s="130"/>
      <c r="M674" s="130">
        <v>134.6</v>
      </c>
      <c r="N674" s="130">
        <v>135.5</v>
      </c>
      <c r="O674" s="130"/>
      <c r="P674" s="130">
        <v>135.5</v>
      </c>
    </row>
    <row r="675" spans="1:18" ht="27" x14ac:dyDescent="0.3">
      <c r="A675" s="7"/>
      <c r="B675" s="7"/>
      <c r="C675" s="7" t="s">
        <v>154</v>
      </c>
      <c r="D675" s="7"/>
      <c r="E675" s="3" t="s">
        <v>155</v>
      </c>
      <c r="F675" s="130">
        <v>106.3</v>
      </c>
      <c r="G675" s="130"/>
      <c r="H675" s="130">
        <v>106.3</v>
      </c>
      <c r="I675" s="130"/>
      <c r="J675" s="130">
        <v>106.3</v>
      </c>
      <c r="K675" s="130">
        <v>110.6</v>
      </c>
      <c r="L675" s="130"/>
      <c r="M675" s="130">
        <v>110.6</v>
      </c>
      <c r="N675" s="130">
        <v>115</v>
      </c>
      <c r="O675" s="130"/>
      <c r="P675" s="130">
        <v>115</v>
      </c>
    </row>
    <row r="676" spans="1:18" ht="27" x14ac:dyDescent="0.3">
      <c r="A676" s="7"/>
      <c r="B676" s="7"/>
      <c r="C676" s="7"/>
      <c r="D676" s="46" t="s">
        <v>608</v>
      </c>
      <c r="E676" s="47" t="s">
        <v>609</v>
      </c>
      <c r="F676" s="130">
        <v>106.3</v>
      </c>
      <c r="G676" s="130"/>
      <c r="H676" s="130">
        <v>106.3</v>
      </c>
      <c r="I676" s="130"/>
      <c r="J676" s="130">
        <v>106.3</v>
      </c>
      <c r="K676" s="130">
        <v>110.6</v>
      </c>
      <c r="L676" s="130"/>
      <c r="M676" s="130">
        <v>110.6</v>
      </c>
      <c r="N676" s="130">
        <v>115</v>
      </c>
      <c r="O676" s="130"/>
      <c r="P676" s="130">
        <v>115</v>
      </c>
    </row>
    <row r="677" spans="1:18" ht="27" x14ac:dyDescent="0.3">
      <c r="A677" s="34"/>
      <c r="B677" s="34"/>
      <c r="C677" s="34" t="s">
        <v>184</v>
      </c>
      <c r="D677" s="34"/>
      <c r="E677" s="35" t="s">
        <v>185</v>
      </c>
      <c r="F677" s="139">
        <f t="shared" ref="F677:P678" si="141">F678</f>
        <v>40.200000000000003</v>
      </c>
      <c r="G677" s="139"/>
      <c r="H677" s="139">
        <f t="shared" si="141"/>
        <v>40.200000000000003</v>
      </c>
      <c r="I677" s="139"/>
      <c r="J677" s="139">
        <f t="shared" si="141"/>
        <v>40.200000000000003</v>
      </c>
      <c r="K677" s="139">
        <f t="shared" si="141"/>
        <v>40.799999999999997</v>
      </c>
      <c r="L677" s="139"/>
      <c r="M677" s="139">
        <f t="shared" si="141"/>
        <v>40.799999999999997</v>
      </c>
      <c r="N677" s="139">
        <f t="shared" si="141"/>
        <v>41.4</v>
      </c>
      <c r="O677" s="139"/>
      <c r="P677" s="139">
        <f t="shared" si="141"/>
        <v>41.4</v>
      </c>
    </row>
    <row r="678" spans="1:18" ht="31.5" customHeight="1" x14ac:dyDescent="0.3">
      <c r="A678" s="36"/>
      <c r="B678" s="36"/>
      <c r="C678" s="36" t="s">
        <v>186</v>
      </c>
      <c r="D678" s="36"/>
      <c r="E678" s="37" t="s">
        <v>187</v>
      </c>
      <c r="F678" s="131">
        <f t="shared" si="141"/>
        <v>40.200000000000003</v>
      </c>
      <c r="G678" s="131"/>
      <c r="H678" s="131">
        <f t="shared" si="141"/>
        <v>40.200000000000003</v>
      </c>
      <c r="I678" s="131"/>
      <c r="J678" s="131">
        <f t="shared" si="141"/>
        <v>40.200000000000003</v>
      </c>
      <c r="K678" s="131">
        <f t="shared" si="141"/>
        <v>40.799999999999997</v>
      </c>
      <c r="L678" s="131"/>
      <c r="M678" s="131">
        <f t="shared" si="141"/>
        <v>40.799999999999997</v>
      </c>
      <c r="N678" s="131">
        <f t="shared" si="141"/>
        <v>41.4</v>
      </c>
      <c r="O678" s="131"/>
      <c r="P678" s="131">
        <f t="shared" si="141"/>
        <v>41.4</v>
      </c>
    </row>
    <row r="679" spans="1:18" ht="29.25" customHeight="1" x14ac:dyDescent="0.3">
      <c r="A679" s="81"/>
      <c r="B679" s="81"/>
      <c r="C679" s="7" t="s">
        <v>188</v>
      </c>
      <c r="D679" s="7"/>
      <c r="E679" s="3" t="s">
        <v>189</v>
      </c>
      <c r="F679" s="130">
        <v>40.200000000000003</v>
      </c>
      <c r="G679" s="130"/>
      <c r="H679" s="130">
        <v>40.200000000000003</v>
      </c>
      <c r="I679" s="130"/>
      <c r="J679" s="130">
        <v>40.200000000000003</v>
      </c>
      <c r="K679" s="130">
        <v>40.799999999999997</v>
      </c>
      <c r="L679" s="130"/>
      <c r="M679" s="130">
        <v>40.799999999999997</v>
      </c>
      <c r="N679" s="130">
        <v>41.4</v>
      </c>
      <c r="O679" s="130"/>
      <c r="P679" s="130">
        <v>41.4</v>
      </c>
    </row>
    <row r="680" spans="1:18" ht="27" x14ac:dyDescent="0.3">
      <c r="A680" s="81"/>
      <c r="B680" s="81"/>
      <c r="C680" s="7"/>
      <c r="D680" s="7" t="s">
        <v>608</v>
      </c>
      <c r="E680" s="3" t="s">
        <v>609</v>
      </c>
      <c r="F680" s="130">
        <v>40.200000000000003</v>
      </c>
      <c r="G680" s="130"/>
      <c r="H680" s="130">
        <v>40.200000000000003</v>
      </c>
      <c r="I680" s="130"/>
      <c r="J680" s="130">
        <v>40.200000000000003</v>
      </c>
      <c r="K680" s="130">
        <v>40.799999999999997</v>
      </c>
      <c r="L680" s="130"/>
      <c r="M680" s="130">
        <v>40.799999999999997</v>
      </c>
      <c r="N680" s="130">
        <v>41.4</v>
      </c>
      <c r="O680" s="130"/>
      <c r="P680" s="130">
        <v>41.4</v>
      </c>
    </row>
    <row r="681" spans="1:18" ht="14.45" x14ac:dyDescent="0.3">
      <c r="A681" s="81"/>
      <c r="B681" s="18">
        <v>1000</v>
      </c>
      <c r="C681" s="86"/>
      <c r="D681" s="85"/>
      <c r="E681" s="87" t="s">
        <v>671</v>
      </c>
      <c r="F681" s="137">
        <f>F682+F709</f>
        <v>31218.5</v>
      </c>
      <c r="G681" s="137"/>
      <c r="H681" s="137">
        <f>H682+H709</f>
        <v>31120.492059999997</v>
      </c>
      <c r="I681" s="137">
        <f>I682+I709</f>
        <v>-679.4</v>
      </c>
      <c r="J681" s="137">
        <f>J682+J709</f>
        <v>30441.092060000003</v>
      </c>
      <c r="K681" s="137">
        <f>K682+K709</f>
        <v>29599.4</v>
      </c>
      <c r="L681" s="137"/>
      <c r="M681" s="137">
        <f>M682+M709</f>
        <v>29599.4</v>
      </c>
      <c r="N681" s="137">
        <f>N682+N709</f>
        <v>29445.399999999998</v>
      </c>
      <c r="O681" s="137"/>
      <c r="P681" s="137">
        <f>P682+P709</f>
        <v>29445.399999999998</v>
      </c>
    </row>
    <row r="682" spans="1:18" ht="14.45" x14ac:dyDescent="0.3">
      <c r="A682" s="81"/>
      <c r="B682" s="18">
        <v>1003</v>
      </c>
      <c r="C682" s="86"/>
      <c r="D682" s="85"/>
      <c r="E682" s="87" t="s">
        <v>675</v>
      </c>
      <c r="F682" s="137">
        <f>F683</f>
        <v>26098.6</v>
      </c>
      <c r="G682" s="137"/>
      <c r="H682" s="137">
        <f t="shared" ref="H682:P683" si="142">H683</f>
        <v>26000.592059999999</v>
      </c>
      <c r="I682" s="137">
        <f t="shared" si="142"/>
        <v>-679.4</v>
      </c>
      <c r="J682" s="137">
        <f t="shared" si="142"/>
        <v>25321.192060000001</v>
      </c>
      <c r="K682" s="137">
        <f t="shared" si="142"/>
        <v>25864.7</v>
      </c>
      <c r="L682" s="137"/>
      <c r="M682" s="137">
        <f t="shared" si="142"/>
        <v>25864.7</v>
      </c>
      <c r="N682" s="137">
        <f t="shared" si="142"/>
        <v>25710.699999999997</v>
      </c>
      <c r="O682" s="137"/>
      <c r="P682" s="137">
        <f t="shared" si="142"/>
        <v>25710.699999999997</v>
      </c>
    </row>
    <row r="683" spans="1:18" ht="26.45" x14ac:dyDescent="0.3">
      <c r="A683" s="81"/>
      <c r="B683" s="18"/>
      <c r="C683" s="86" t="s">
        <v>6</v>
      </c>
      <c r="D683" s="85"/>
      <c r="E683" s="90" t="s">
        <v>7</v>
      </c>
      <c r="F683" s="137">
        <f>F684</f>
        <v>26098.6</v>
      </c>
      <c r="G683" s="137"/>
      <c r="H683" s="137">
        <f t="shared" si="142"/>
        <v>26000.592059999999</v>
      </c>
      <c r="I683" s="137">
        <f t="shared" si="142"/>
        <v>-679.4</v>
      </c>
      <c r="J683" s="137">
        <f t="shared" si="142"/>
        <v>25321.192060000001</v>
      </c>
      <c r="K683" s="137">
        <f t="shared" si="142"/>
        <v>25864.7</v>
      </c>
      <c r="L683" s="137"/>
      <c r="M683" s="137">
        <f t="shared" si="142"/>
        <v>25864.7</v>
      </c>
      <c r="N683" s="137">
        <f t="shared" si="142"/>
        <v>25710.699999999997</v>
      </c>
      <c r="O683" s="137"/>
      <c r="P683" s="137">
        <f t="shared" si="142"/>
        <v>25710.699999999997</v>
      </c>
    </row>
    <row r="684" spans="1:18" ht="26.45" x14ac:dyDescent="0.3">
      <c r="A684" s="95"/>
      <c r="B684" s="95"/>
      <c r="C684" s="95" t="s">
        <v>65</v>
      </c>
      <c r="D684" s="94"/>
      <c r="E684" s="96" t="s">
        <v>66</v>
      </c>
      <c r="F684" s="138">
        <f>F685+F689+F697</f>
        <v>26098.6</v>
      </c>
      <c r="G684" s="138"/>
      <c r="H684" s="138">
        <f>H685+H689+H697</f>
        <v>26000.592059999999</v>
      </c>
      <c r="I684" s="138">
        <f>I685+I689+I697</f>
        <v>-679.4</v>
      </c>
      <c r="J684" s="138">
        <f>J685+J689+J697</f>
        <v>25321.192060000001</v>
      </c>
      <c r="K684" s="138">
        <f>K685+K689+K697</f>
        <v>25864.7</v>
      </c>
      <c r="L684" s="138"/>
      <c r="M684" s="138">
        <f>M685+M689+M697</f>
        <v>25864.7</v>
      </c>
      <c r="N684" s="138">
        <f>N685+N689+N697</f>
        <v>25710.699999999997</v>
      </c>
      <c r="O684" s="138"/>
      <c r="P684" s="138">
        <f>P685+P689+P697</f>
        <v>25710.699999999997</v>
      </c>
    </row>
    <row r="685" spans="1:18" ht="14.45" x14ac:dyDescent="0.3">
      <c r="A685" s="34"/>
      <c r="B685" s="34"/>
      <c r="C685" s="34" t="s">
        <v>67</v>
      </c>
      <c r="D685" s="34"/>
      <c r="E685" s="35" t="s">
        <v>68</v>
      </c>
      <c r="F685" s="139">
        <f>F686</f>
        <v>218.1</v>
      </c>
      <c r="G685" s="139"/>
      <c r="H685" s="139">
        <f t="shared" ref="H685:P686" si="143">H686</f>
        <v>218.1</v>
      </c>
      <c r="I685" s="139">
        <f t="shared" si="143"/>
        <v>20.5</v>
      </c>
      <c r="J685" s="139">
        <f t="shared" si="143"/>
        <v>238.6</v>
      </c>
      <c r="K685" s="139">
        <f t="shared" si="143"/>
        <v>226.9</v>
      </c>
      <c r="L685" s="139"/>
      <c r="M685" s="139">
        <f t="shared" si="143"/>
        <v>226.9</v>
      </c>
      <c r="N685" s="139">
        <f t="shared" si="143"/>
        <v>235.9</v>
      </c>
      <c r="O685" s="139"/>
      <c r="P685" s="139">
        <f t="shared" si="143"/>
        <v>235.9</v>
      </c>
    </row>
    <row r="686" spans="1:18" ht="40.15" x14ac:dyDescent="0.3">
      <c r="A686" s="36"/>
      <c r="B686" s="36"/>
      <c r="C686" s="36" t="s">
        <v>69</v>
      </c>
      <c r="D686" s="36"/>
      <c r="E686" s="37" t="s">
        <v>70</v>
      </c>
      <c r="F686" s="131">
        <f>F687</f>
        <v>218.1</v>
      </c>
      <c r="G686" s="131"/>
      <c r="H686" s="131">
        <f t="shared" si="143"/>
        <v>218.1</v>
      </c>
      <c r="I686" s="131">
        <f t="shared" si="143"/>
        <v>20.5</v>
      </c>
      <c r="J686" s="131">
        <f t="shared" si="143"/>
        <v>238.6</v>
      </c>
      <c r="K686" s="131">
        <f t="shared" si="143"/>
        <v>226.9</v>
      </c>
      <c r="L686" s="131"/>
      <c r="M686" s="131">
        <f t="shared" si="143"/>
        <v>226.9</v>
      </c>
      <c r="N686" s="131">
        <f t="shared" si="143"/>
        <v>235.9</v>
      </c>
      <c r="O686" s="131"/>
      <c r="P686" s="131">
        <f t="shared" si="143"/>
        <v>235.9</v>
      </c>
    </row>
    <row r="687" spans="1:18" ht="27" x14ac:dyDescent="0.3">
      <c r="A687" s="81"/>
      <c r="B687" s="81"/>
      <c r="C687" s="17" t="s">
        <v>79</v>
      </c>
      <c r="D687" s="7"/>
      <c r="E687" s="3" t="s">
        <v>80</v>
      </c>
      <c r="F687" s="130">
        <v>218.1</v>
      </c>
      <c r="G687" s="130"/>
      <c r="H687" s="130">
        <v>218.1</v>
      </c>
      <c r="I687" s="130">
        <f>I688</f>
        <v>20.5</v>
      </c>
      <c r="J687" s="130">
        <f>J688</f>
        <v>238.6</v>
      </c>
      <c r="K687" s="130">
        <v>226.9</v>
      </c>
      <c r="L687" s="130"/>
      <c r="M687" s="130">
        <v>226.9</v>
      </c>
      <c r="N687" s="130">
        <v>235.9</v>
      </c>
      <c r="O687" s="130"/>
      <c r="P687" s="130">
        <v>235.9</v>
      </c>
    </row>
    <row r="688" spans="1:18" ht="27" x14ac:dyDescent="0.3">
      <c r="A688" s="81"/>
      <c r="B688" s="81"/>
      <c r="C688" s="17"/>
      <c r="D688" s="7" t="s">
        <v>608</v>
      </c>
      <c r="E688" s="3" t="s">
        <v>609</v>
      </c>
      <c r="F688" s="130">
        <v>218.1</v>
      </c>
      <c r="G688" s="130"/>
      <c r="H688" s="130">
        <v>218.1</v>
      </c>
      <c r="I688" s="130">
        <v>20.5</v>
      </c>
      <c r="J688" s="130">
        <f>SUM(H688:I688)</f>
        <v>238.6</v>
      </c>
      <c r="K688" s="130">
        <v>226.9</v>
      </c>
      <c r="L688" s="130"/>
      <c r="M688" s="130">
        <v>226.9</v>
      </c>
      <c r="N688" s="130">
        <v>235.9</v>
      </c>
      <c r="O688" s="130"/>
      <c r="P688" s="130">
        <v>235.9</v>
      </c>
    </row>
    <row r="689" spans="1:18" ht="14.45" x14ac:dyDescent="0.3">
      <c r="A689" s="34"/>
      <c r="B689" s="34"/>
      <c r="C689" s="34" t="s">
        <v>85</v>
      </c>
      <c r="D689" s="34"/>
      <c r="E689" s="35" t="s">
        <v>86</v>
      </c>
      <c r="F689" s="139">
        <f>F690</f>
        <v>13874.599999999999</v>
      </c>
      <c r="G689" s="139"/>
      <c r="H689" s="139">
        <f>H690</f>
        <v>13776.592059999999</v>
      </c>
      <c r="I689" s="139">
        <f>I690</f>
        <v>-525.5</v>
      </c>
      <c r="J689" s="139">
        <f>J690</f>
        <v>13251.092059999999</v>
      </c>
      <c r="K689" s="139">
        <f>K690</f>
        <v>13887.2</v>
      </c>
      <c r="L689" s="139"/>
      <c r="M689" s="139">
        <f>M690</f>
        <v>13887.2</v>
      </c>
      <c r="N689" s="139">
        <f>N690</f>
        <v>13800.3</v>
      </c>
      <c r="O689" s="139"/>
      <c r="P689" s="139">
        <f>P690</f>
        <v>13800.3</v>
      </c>
    </row>
    <row r="690" spans="1:18" ht="40.15" x14ac:dyDescent="0.3">
      <c r="A690" s="36"/>
      <c r="B690" s="36"/>
      <c r="C690" s="36" t="s">
        <v>97</v>
      </c>
      <c r="D690" s="36"/>
      <c r="E690" s="37" t="s">
        <v>98</v>
      </c>
      <c r="F690" s="131">
        <f>F691+F693+F695</f>
        <v>13874.599999999999</v>
      </c>
      <c r="G690" s="131"/>
      <c r="H690" s="131">
        <f>H691+H693+H695</f>
        <v>13776.592059999999</v>
      </c>
      <c r="I690" s="131">
        <f>I691+I693+I695</f>
        <v>-525.5</v>
      </c>
      <c r="J690" s="131">
        <f>J691+J693+J695</f>
        <v>13251.092059999999</v>
      </c>
      <c r="K690" s="131">
        <f>K691+K693+K695</f>
        <v>13887.2</v>
      </c>
      <c r="L690" s="131"/>
      <c r="M690" s="131">
        <f>M691+M693+M695</f>
        <v>13887.2</v>
      </c>
      <c r="N690" s="131">
        <f>N691+N693+N695</f>
        <v>13800.3</v>
      </c>
      <c r="O690" s="131"/>
      <c r="P690" s="131">
        <f>P691+P693+P695</f>
        <v>13800.3</v>
      </c>
    </row>
    <row r="691" spans="1:18" ht="26.45" x14ac:dyDescent="0.3">
      <c r="A691" s="81"/>
      <c r="B691" s="81"/>
      <c r="C691" s="43" t="s">
        <v>106</v>
      </c>
      <c r="D691" s="7"/>
      <c r="E691" s="1" t="s">
        <v>107</v>
      </c>
      <c r="F691" s="130">
        <v>5176.8</v>
      </c>
      <c r="G691" s="130"/>
      <c r="H691" s="130">
        <v>5176.8</v>
      </c>
      <c r="I691" s="130"/>
      <c r="J691" s="130">
        <v>5176.8</v>
      </c>
      <c r="K691" s="130">
        <v>5159.6000000000004</v>
      </c>
      <c r="L691" s="130"/>
      <c r="M691" s="130">
        <v>5159.6000000000004</v>
      </c>
      <c r="N691" s="130">
        <v>5193.8999999999996</v>
      </c>
      <c r="O691" s="130"/>
      <c r="P691" s="130">
        <v>5193.8999999999996</v>
      </c>
    </row>
    <row r="692" spans="1:18" ht="27" x14ac:dyDescent="0.3">
      <c r="A692" s="81"/>
      <c r="B692" s="81"/>
      <c r="C692" s="43"/>
      <c r="D692" s="7" t="s">
        <v>608</v>
      </c>
      <c r="E692" s="3" t="s">
        <v>609</v>
      </c>
      <c r="F692" s="130">
        <v>5176.8</v>
      </c>
      <c r="G692" s="130"/>
      <c r="H692" s="130">
        <v>5176.8</v>
      </c>
      <c r="I692" s="130"/>
      <c r="J692" s="130">
        <v>5176.8</v>
      </c>
      <c r="K692" s="130">
        <v>5159.6000000000004</v>
      </c>
      <c r="L692" s="130"/>
      <c r="M692" s="130">
        <v>5159.6000000000004</v>
      </c>
      <c r="N692" s="130">
        <v>5193.8999999999996</v>
      </c>
      <c r="O692" s="130"/>
      <c r="P692" s="130">
        <v>5193.8999999999996</v>
      </c>
    </row>
    <row r="693" spans="1:18" ht="27" x14ac:dyDescent="0.3">
      <c r="A693" s="81"/>
      <c r="B693" s="81"/>
      <c r="C693" s="43" t="s">
        <v>108</v>
      </c>
      <c r="D693" s="7"/>
      <c r="E693" s="3" t="s">
        <v>109</v>
      </c>
      <c r="F693" s="130">
        <v>6668</v>
      </c>
      <c r="G693" s="130"/>
      <c r="H693" s="130">
        <v>6668</v>
      </c>
      <c r="I693" s="130"/>
      <c r="J693" s="130">
        <v>6668</v>
      </c>
      <c r="K693" s="130">
        <v>6616.6</v>
      </c>
      <c r="L693" s="130"/>
      <c r="M693" s="130">
        <v>6616.6</v>
      </c>
      <c r="N693" s="130">
        <v>6410.9</v>
      </c>
      <c r="O693" s="130"/>
      <c r="P693" s="130">
        <v>6410.9</v>
      </c>
      <c r="R693" s="45"/>
    </row>
    <row r="694" spans="1:18" ht="27" x14ac:dyDescent="0.3">
      <c r="A694" s="81"/>
      <c r="B694" s="81"/>
      <c r="C694" s="43"/>
      <c r="D694" s="7" t="s">
        <v>608</v>
      </c>
      <c r="E694" s="3" t="s">
        <v>609</v>
      </c>
      <c r="F694" s="130">
        <v>6668</v>
      </c>
      <c r="G694" s="130"/>
      <c r="H694" s="130">
        <v>6668</v>
      </c>
      <c r="I694" s="130"/>
      <c r="J694" s="130">
        <v>6668</v>
      </c>
      <c r="K694" s="130">
        <v>6616.6</v>
      </c>
      <c r="L694" s="130"/>
      <c r="M694" s="130">
        <v>6616.6</v>
      </c>
      <c r="N694" s="130">
        <v>6410.9</v>
      </c>
      <c r="O694" s="130"/>
      <c r="P694" s="130">
        <v>6410.9</v>
      </c>
    </row>
    <row r="695" spans="1:18" ht="27" x14ac:dyDescent="0.3">
      <c r="A695" s="81"/>
      <c r="B695" s="81"/>
      <c r="C695" s="7" t="s">
        <v>101</v>
      </c>
      <c r="D695" s="7"/>
      <c r="E695" s="3" t="s">
        <v>80</v>
      </c>
      <c r="F695" s="130">
        <v>2029.8</v>
      </c>
      <c r="G695" s="130"/>
      <c r="H695" s="130">
        <f>H696</f>
        <v>1931.79206</v>
      </c>
      <c r="I695" s="130">
        <f>I696</f>
        <v>-525.5</v>
      </c>
      <c r="J695" s="130">
        <f>J696</f>
        <v>1406.29206</v>
      </c>
      <c r="K695" s="130">
        <v>2111</v>
      </c>
      <c r="L695" s="130"/>
      <c r="M695" s="130">
        <v>2111</v>
      </c>
      <c r="N695" s="130">
        <v>2195.5</v>
      </c>
      <c r="O695" s="130"/>
      <c r="P695" s="130">
        <v>2195.5</v>
      </c>
    </row>
    <row r="696" spans="1:18" ht="27" x14ac:dyDescent="0.3">
      <c r="A696" s="81"/>
      <c r="B696" s="81"/>
      <c r="C696" s="7"/>
      <c r="D696" s="7" t="s">
        <v>608</v>
      </c>
      <c r="E696" s="3" t="s">
        <v>609</v>
      </c>
      <c r="F696" s="130">
        <v>2029.8</v>
      </c>
      <c r="G696" s="130"/>
      <c r="H696" s="130">
        <v>1931.79206</v>
      </c>
      <c r="I696" s="130">
        <v>-525.5</v>
      </c>
      <c r="J696" s="130">
        <f>SUM(H696:I696)</f>
        <v>1406.29206</v>
      </c>
      <c r="K696" s="130">
        <v>2111</v>
      </c>
      <c r="L696" s="130"/>
      <c r="M696" s="130">
        <v>2111</v>
      </c>
      <c r="N696" s="130">
        <v>2195.5</v>
      </c>
      <c r="O696" s="130"/>
      <c r="P696" s="130">
        <v>2195.5</v>
      </c>
    </row>
    <row r="697" spans="1:18" ht="14.45" x14ac:dyDescent="0.3">
      <c r="A697" s="34"/>
      <c r="B697" s="34"/>
      <c r="C697" s="34" t="s">
        <v>148</v>
      </c>
      <c r="D697" s="34"/>
      <c r="E697" s="35" t="s">
        <v>149</v>
      </c>
      <c r="F697" s="139">
        <f>F698</f>
        <v>12005.9</v>
      </c>
      <c r="G697" s="139"/>
      <c r="H697" s="139">
        <f>H698</f>
        <v>12005.9</v>
      </c>
      <c r="I697" s="139">
        <f>I698</f>
        <v>-174.4</v>
      </c>
      <c r="J697" s="139">
        <f>J698</f>
        <v>11831.5</v>
      </c>
      <c r="K697" s="139">
        <f>K698</f>
        <v>11750.6</v>
      </c>
      <c r="L697" s="139"/>
      <c r="M697" s="139">
        <f>M698</f>
        <v>11750.6</v>
      </c>
      <c r="N697" s="139">
        <f>N698</f>
        <v>11674.5</v>
      </c>
      <c r="O697" s="139"/>
      <c r="P697" s="139">
        <f>P698</f>
        <v>11674.5</v>
      </c>
    </row>
    <row r="698" spans="1:18" ht="27" x14ac:dyDescent="0.3">
      <c r="A698" s="36"/>
      <c r="B698" s="36"/>
      <c r="C698" s="36" t="s">
        <v>156</v>
      </c>
      <c r="D698" s="36"/>
      <c r="E698" s="37" t="s">
        <v>157</v>
      </c>
      <c r="F698" s="131">
        <f>F699+F702+F705</f>
        <v>12005.9</v>
      </c>
      <c r="G698" s="131"/>
      <c r="H698" s="131">
        <f>H699+H702+H705</f>
        <v>12005.9</v>
      </c>
      <c r="I698" s="131">
        <f>I699+I702+I705</f>
        <v>-174.4</v>
      </c>
      <c r="J698" s="131">
        <f>J699+J702+J705</f>
        <v>11831.5</v>
      </c>
      <c r="K698" s="131">
        <f>K699+K702+K705</f>
        <v>11750.6</v>
      </c>
      <c r="L698" s="131"/>
      <c r="M698" s="131">
        <f>M699+M702+M705</f>
        <v>11750.6</v>
      </c>
      <c r="N698" s="131">
        <f>N699+N702+N705</f>
        <v>11674.5</v>
      </c>
      <c r="O698" s="131"/>
      <c r="P698" s="131">
        <f>P699+P702+P705</f>
        <v>11674.5</v>
      </c>
    </row>
    <row r="699" spans="1:18" ht="27" x14ac:dyDescent="0.3">
      <c r="A699" s="81"/>
      <c r="B699" s="81"/>
      <c r="C699" s="7" t="s">
        <v>158</v>
      </c>
      <c r="D699" s="7"/>
      <c r="E699" s="3" t="s">
        <v>159</v>
      </c>
      <c r="F699" s="130">
        <f>SUM(F700+F701)</f>
        <v>596.79999999999995</v>
      </c>
      <c r="G699" s="130"/>
      <c r="H699" s="130">
        <f>SUM(H700+H701)</f>
        <v>596.79999999999995</v>
      </c>
      <c r="I699" s="130"/>
      <c r="J699" s="130">
        <f>SUM(J700+J701)</f>
        <v>596.79999999999995</v>
      </c>
      <c r="K699" s="130">
        <f>SUM(K700+K701)</f>
        <v>469.9</v>
      </c>
      <c r="L699" s="130"/>
      <c r="M699" s="130">
        <f>SUM(M700+M701)</f>
        <v>469.9</v>
      </c>
      <c r="N699" s="130">
        <f>SUM(N700+N701)</f>
        <v>393.8</v>
      </c>
      <c r="O699" s="130"/>
      <c r="P699" s="130">
        <f>SUM(P700+P701)</f>
        <v>393.8</v>
      </c>
    </row>
    <row r="700" spans="1:18" ht="14.45" x14ac:dyDescent="0.3">
      <c r="A700" s="81"/>
      <c r="B700" s="81"/>
      <c r="C700" s="7"/>
      <c r="D700" s="7" t="s">
        <v>534</v>
      </c>
      <c r="E700" s="3" t="s">
        <v>535</v>
      </c>
      <c r="F700" s="130">
        <v>596.79999999999995</v>
      </c>
      <c r="G700" s="130"/>
      <c r="H700" s="130">
        <v>596.79999999999995</v>
      </c>
      <c r="I700" s="130"/>
      <c r="J700" s="130">
        <v>596.79999999999995</v>
      </c>
      <c r="K700" s="130">
        <v>469.9</v>
      </c>
      <c r="L700" s="130"/>
      <c r="M700" s="130">
        <v>469.9</v>
      </c>
      <c r="N700" s="130">
        <v>393.8</v>
      </c>
      <c r="O700" s="130"/>
      <c r="P700" s="130">
        <v>393.8</v>
      </c>
    </row>
    <row r="701" spans="1:18" ht="27" x14ac:dyDescent="0.3">
      <c r="A701" s="81"/>
      <c r="B701" s="81"/>
      <c r="C701" s="7"/>
      <c r="D701" s="46" t="s">
        <v>608</v>
      </c>
      <c r="E701" s="47" t="s">
        <v>609</v>
      </c>
      <c r="F701" s="130"/>
      <c r="G701" s="130"/>
      <c r="H701" s="130"/>
      <c r="I701" s="130"/>
      <c r="J701" s="130"/>
      <c r="K701" s="130"/>
      <c r="L701" s="130"/>
      <c r="M701" s="130"/>
      <c r="N701" s="130"/>
      <c r="O701" s="130"/>
      <c r="P701" s="130"/>
    </row>
    <row r="702" spans="1:18" ht="53.45" x14ac:dyDescent="0.3">
      <c r="A702" s="81"/>
      <c r="B702" s="81"/>
      <c r="C702" s="7" t="s">
        <v>160</v>
      </c>
      <c r="D702" s="7"/>
      <c r="E702" s="3" t="s">
        <v>161</v>
      </c>
      <c r="F702" s="130">
        <f>F703+F704</f>
        <v>11250</v>
      </c>
      <c r="G702" s="130"/>
      <c r="H702" s="130">
        <f>H703+H704</f>
        <v>11250</v>
      </c>
      <c r="I702" s="130">
        <f>I703+I704</f>
        <v>-174.4</v>
      </c>
      <c r="J702" s="130">
        <f>J703+J704</f>
        <v>11075.6</v>
      </c>
      <c r="K702" s="130">
        <f>K703+K704</f>
        <v>11280.7</v>
      </c>
      <c r="L702" s="130"/>
      <c r="M702" s="130">
        <f>M703+M704</f>
        <v>11280.7</v>
      </c>
      <c r="N702" s="130">
        <f>N703+N704</f>
        <v>11280.7</v>
      </c>
      <c r="O702" s="130"/>
      <c r="P702" s="130">
        <f>P703+P704</f>
        <v>11280.7</v>
      </c>
    </row>
    <row r="703" spans="1:18" ht="14.45" x14ac:dyDescent="0.3">
      <c r="A703" s="81"/>
      <c r="B703" s="81"/>
      <c r="C703" s="7"/>
      <c r="D703" s="7" t="s">
        <v>534</v>
      </c>
      <c r="E703" s="3" t="s">
        <v>535</v>
      </c>
      <c r="F703" s="130">
        <v>5118.6880000000001</v>
      </c>
      <c r="G703" s="130"/>
      <c r="H703" s="130">
        <v>5118.6880000000001</v>
      </c>
      <c r="I703" s="130"/>
      <c r="J703" s="130">
        <f>SUM(H703:I703)</f>
        <v>5118.6880000000001</v>
      </c>
      <c r="K703" s="130">
        <v>4819.2</v>
      </c>
      <c r="L703" s="130"/>
      <c r="M703" s="130">
        <v>4819.2</v>
      </c>
      <c r="N703" s="130">
        <v>4819.2</v>
      </c>
      <c r="O703" s="130"/>
      <c r="P703" s="130">
        <v>4819.2</v>
      </c>
    </row>
    <row r="704" spans="1:18" ht="27" x14ac:dyDescent="0.3">
      <c r="A704" s="81"/>
      <c r="B704" s="81"/>
      <c r="C704" s="7"/>
      <c r="D704" s="7" t="s">
        <v>608</v>
      </c>
      <c r="E704" s="3" t="s">
        <v>609</v>
      </c>
      <c r="F704" s="130">
        <v>6131.3119999999999</v>
      </c>
      <c r="G704" s="130"/>
      <c r="H704" s="130">
        <v>6131.3119999999999</v>
      </c>
      <c r="I704" s="130">
        <v>-174.4</v>
      </c>
      <c r="J704" s="130">
        <f>SUM(H704:I704)</f>
        <v>5956.9120000000003</v>
      </c>
      <c r="K704" s="130">
        <v>6461.5</v>
      </c>
      <c r="L704" s="130"/>
      <c r="M704" s="130">
        <v>6461.5</v>
      </c>
      <c r="N704" s="130">
        <v>6461.5</v>
      </c>
      <c r="O704" s="130"/>
      <c r="P704" s="130">
        <v>6461.5</v>
      </c>
    </row>
    <row r="705" spans="1:22" ht="27" x14ac:dyDescent="0.3">
      <c r="A705" s="81"/>
      <c r="B705" s="81"/>
      <c r="C705" s="7" t="s">
        <v>162</v>
      </c>
      <c r="D705" s="7"/>
      <c r="E705" s="3" t="s">
        <v>163</v>
      </c>
      <c r="F705" s="130">
        <f>F707+F708</f>
        <v>159.1</v>
      </c>
      <c r="G705" s="130"/>
      <c r="H705" s="130">
        <f>H707+H708</f>
        <v>159.1</v>
      </c>
      <c r="I705" s="130"/>
      <c r="J705" s="130">
        <f>J707+J708</f>
        <v>159.1</v>
      </c>
      <c r="K705" s="130">
        <f>K707+K708</f>
        <v>0</v>
      </c>
      <c r="L705" s="130"/>
      <c r="M705" s="130">
        <f>M707+M708</f>
        <v>0</v>
      </c>
      <c r="N705" s="130">
        <f>N707+N708</f>
        <v>0</v>
      </c>
      <c r="O705" s="130"/>
      <c r="P705" s="130">
        <f>P707+P708</f>
        <v>0</v>
      </c>
    </row>
    <row r="706" spans="1:22" ht="27" x14ac:dyDescent="0.3">
      <c r="A706" s="81"/>
      <c r="B706" s="81"/>
      <c r="C706" s="7"/>
      <c r="D706" s="7" t="s">
        <v>336</v>
      </c>
      <c r="E706" s="3" t="s">
        <v>337</v>
      </c>
      <c r="F706" s="130">
        <f>F707+F708</f>
        <v>159.1</v>
      </c>
      <c r="G706" s="130"/>
      <c r="H706" s="130">
        <f>H707+H708</f>
        <v>159.1</v>
      </c>
      <c r="I706" s="130"/>
      <c r="J706" s="130">
        <f>J707+J708</f>
        <v>159.1</v>
      </c>
      <c r="K706" s="130">
        <v>0</v>
      </c>
      <c r="L706" s="130"/>
      <c r="M706" s="130">
        <v>0</v>
      </c>
      <c r="N706" s="130">
        <v>0</v>
      </c>
      <c r="O706" s="130"/>
      <c r="P706" s="130">
        <v>0</v>
      </c>
    </row>
    <row r="707" spans="1:22" ht="14.45" x14ac:dyDescent="0.3">
      <c r="A707" s="81"/>
      <c r="B707" s="81"/>
      <c r="C707" s="7"/>
      <c r="D707" s="7"/>
      <c r="E707" s="3" t="s">
        <v>95</v>
      </c>
      <c r="F707" s="130">
        <v>106</v>
      </c>
      <c r="G707" s="130"/>
      <c r="H707" s="130">
        <v>106</v>
      </c>
      <c r="I707" s="130"/>
      <c r="J707" s="130">
        <v>106</v>
      </c>
      <c r="K707" s="130">
        <v>0</v>
      </c>
      <c r="L707" s="130"/>
      <c r="M707" s="130">
        <v>0</v>
      </c>
      <c r="N707" s="130">
        <v>0</v>
      </c>
      <c r="O707" s="130"/>
      <c r="P707" s="130">
        <v>0</v>
      </c>
    </row>
    <row r="708" spans="1:22" ht="14.45" x14ac:dyDescent="0.3">
      <c r="A708" s="81"/>
      <c r="B708" s="81"/>
      <c r="C708" s="7"/>
      <c r="D708" s="7"/>
      <c r="E708" s="3" t="s">
        <v>96</v>
      </c>
      <c r="F708" s="130">
        <v>53.1</v>
      </c>
      <c r="G708" s="130"/>
      <c r="H708" s="130">
        <v>53.1</v>
      </c>
      <c r="I708" s="130"/>
      <c r="J708" s="130">
        <v>53.1</v>
      </c>
      <c r="K708" s="130">
        <v>0</v>
      </c>
      <c r="L708" s="130"/>
      <c r="M708" s="130">
        <v>0</v>
      </c>
      <c r="N708" s="130">
        <v>0</v>
      </c>
      <c r="O708" s="130"/>
      <c r="P708" s="130">
        <v>0</v>
      </c>
      <c r="Q708" s="41"/>
      <c r="R708" s="41"/>
      <c r="S708" s="41"/>
      <c r="T708" s="41"/>
      <c r="U708" s="41"/>
      <c r="V708" s="41"/>
    </row>
    <row r="709" spans="1:22" ht="14.45" x14ac:dyDescent="0.3">
      <c r="A709" s="85"/>
      <c r="B709" s="18">
        <v>1004</v>
      </c>
      <c r="C709" s="86"/>
      <c r="D709" s="85"/>
      <c r="E709" s="87" t="s">
        <v>677</v>
      </c>
      <c r="F709" s="137">
        <f>F710</f>
        <v>5119.8999999999996</v>
      </c>
      <c r="G709" s="137"/>
      <c r="H709" s="137">
        <f>H710</f>
        <v>5119.8999999999996</v>
      </c>
      <c r="I709" s="137"/>
      <c r="J709" s="137">
        <f>J710</f>
        <v>5119.8999999999996</v>
      </c>
      <c r="K709" s="137">
        <f t="shared" ref="K709:P713" si="144">K710</f>
        <v>3734.7</v>
      </c>
      <c r="L709" s="137"/>
      <c r="M709" s="137">
        <f t="shared" si="144"/>
        <v>3734.7</v>
      </c>
      <c r="N709" s="137">
        <f t="shared" si="144"/>
        <v>3734.7</v>
      </c>
      <c r="O709" s="137"/>
      <c r="P709" s="137">
        <f t="shared" si="144"/>
        <v>3734.7</v>
      </c>
      <c r="Q709" s="41"/>
      <c r="R709" s="41"/>
      <c r="S709" s="41"/>
      <c r="T709" s="41"/>
      <c r="U709" s="41"/>
      <c r="V709" s="41"/>
    </row>
    <row r="710" spans="1:22" ht="14.45" x14ac:dyDescent="0.3">
      <c r="A710" s="85"/>
      <c r="B710" s="18"/>
      <c r="C710" s="86" t="s">
        <v>6</v>
      </c>
      <c r="D710" s="18"/>
      <c r="E710" s="8" t="s">
        <v>642</v>
      </c>
      <c r="F710" s="137">
        <f>F711</f>
        <v>5119.8999999999996</v>
      </c>
      <c r="G710" s="137"/>
      <c r="H710" s="137">
        <f>H711</f>
        <v>5119.8999999999996</v>
      </c>
      <c r="I710" s="137"/>
      <c r="J710" s="137">
        <f>J711</f>
        <v>5119.8999999999996</v>
      </c>
      <c r="K710" s="137">
        <f t="shared" si="144"/>
        <v>3734.7</v>
      </c>
      <c r="L710" s="137"/>
      <c r="M710" s="137">
        <f t="shared" si="144"/>
        <v>3734.7</v>
      </c>
      <c r="N710" s="137">
        <f t="shared" si="144"/>
        <v>3734.7</v>
      </c>
      <c r="O710" s="137"/>
      <c r="P710" s="137">
        <f t="shared" si="144"/>
        <v>3734.7</v>
      </c>
      <c r="Q710" s="41"/>
      <c r="R710" s="41"/>
      <c r="S710" s="41"/>
      <c r="T710" s="41"/>
      <c r="U710" s="41"/>
      <c r="V710" s="41"/>
    </row>
    <row r="711" spans="1:22" ht="26.45" x14ac:dyDescent="0.3">
      <c r="A711" s="93"/>
      <c r="B711" s="94"/>
      <c r="C711" s="95" t="s">
        <v>65</v>
      </c>
      <c r="D711" s="94"/>
      <c r="E711" s="96" t="s">
        <v>66</v>
      </c>
      <c r="F711" s="138">
        <f>F712</f>
        <v>5119.8999999999996</v>
      </c>
      <c r="G711" s="138"/>
      <c r="H711" s="138">
        <f>H712</f>
        <v>5119.8999999999996</v>
      </c>
      <c r="I711" s="138"/>
      <c r="J711" s="138">
        <f>J712</f>
        <v>5119.8999999999996</v>
      </c>
      <c r="K711" s="138">
        <f t="shared" si="144"/>
        <v>3734.7</v>
      </c>
      <c r="L711" s="138"/>
      <c r="M711" s="138">
        <f t="shared" si="144"/>
        <v>3734.7</v>
      </c>
      <c r="N711" s="138">
        <f t="shared" si="144"/>
        <v>3734.7</v>
      </c>
      <c r="O711" s="138"/>
      <c r="P711" s="138">
        <f t="shared" si="144"/>
        <v>3734.7</v>
      </c>
      <c r="Q711" s="41"/>
      <c r="R711" s="41"/>
      <c r="S711" s="41"/>
      <c r="T711" s="41"/>
      <c r="U711" s="41"/>
      <c r="V711" s="41"/>
    </row>
    <row r="712" spans="1:22" ht="14.45" x14ac:dyDescent="0.3">
      <c r="A712" s="97"/>
      <c r="B712" s="98"/>
      <c r="C712" s="99" t="s">
        <v>67</v>
      </c>
      <c r="D712" s="98"/>
      <c r="E712" s="100" t="s">
        <v>68</v>
      </c>
      <c r="F712" s="158">
        <f>F713</f>
        <v>5119.8999999999996</v>
      </c>
      <c r="G712" s="158"/>
      <c r="H712" s="158">
        <f>H713</f>
        <v>5119.8999999999996</v>
      </c>
      <c r="I712" s="158"/>
      <c r="J712" s="158">
        <f>J713</f>
        <v>5119.8999999999996</v>
      </c>
      <c r="K712" s="158">
        <f t="shared" si="144"/>
        <v>3734.7</v>
      </c>
      <c r="L712" s="158"/>
      <c r="M712" s="158">
        <f t="shared" si="144"/>
        <v>3734.7</v>
      </c>
      <c r="N712" s="158">
        <f t="shared" si="144"/>
        <v>3734.7</v>
      </c>
      <c r="O712" s="158"/>
      <c r="P712" s="158">
        <f t="shared" si="144"/>
        <v>3734.7</v>
      </c>
      <c r="Q712" s="41"/>
      <c r="R712" s="41"/>
      <c r="S712" s="41"/>
      <c r="T712" s="41"/>
      <c r="U712" s="41"/>
      <c r="V712" s="41"/>
    </row>
    <row r="713" spans="1:22" ht="40.15" x14ac:dyDescent="0.3">
      <c r="A713" s="36"/>
      <c r="B713" s="36"/>
      <c r="C713" s="36" t="s">
        <v>69</v>
      </c>
      <c r="D713" s="36"/>
      <c r="E713" s="37" t="s">
        <v>88</v>
      </c>
      <c r="F713" s="131">
        <f>F714</f>
        <v>5119.8999999999996</v>
      </c>
      <c r="G713" s="131"/>
      <c r="H713" s="131">
        <f>H714</f>
        <v>5119.8999999999996</v>
      </c>
      <c r="I713" s="131"/>
      <c r="J713" s="131">
        <f>J714</f>
        <v>5119.8999999999996</v>
      </c>
      <c r="K713" s="131">
        <f t="shared" si="144"/>
        <v>3734.7</v>
      </c>
      <c r="L713" s="131"/>
      <c r="M713" s="131">
        <f t="shared" si="144"/>
        <v>3734.7</v>
      </c>
      <c r="N713" s="131">
        <f t="shared" si="144"/>
        <v>3734.7</v>
      </c>
      <c r="O713" s="131"/>
      <c r="P713" s="131">
        <f t="shared" si="144"/>
        <v>3734.7</v>
      </c>
      <c r="Q713" s="41"/>
      <c r="R713" s="41"/>
      <c r="S713" s="41"/>
      <c r="T713" s="41"/>
      <c r="U713" s="41"/>
      <c r="V713" s="41"/>
    </row>
    <row r="714" spans="1:22" ht="40.15" x14ac:dyDescent="0.3">
      <c r="A714" s="81"/>
      <c r="B714" s="81"/>
      <c r="C714" s="7" t="s">
        <v>75</v>
      </c>
      <c r="D714" s="7"/>
      <c r="E714" s="3" t="s">
        <v>76</v>
      </c>
      <c r="F714" s="130">
        <v>5119.8999999999996</v>
      </c>
      <c r="G714" s="130"/>
      <c r="H714" s="130">
        <v>5119.8999999999996</v>
      </c>
      <c r="I714" s="130"/>
      <c r="J714" s="130">
        <v>5119.8999999999996</v>
      </c>
      <c r="K714" s="130">
        <v>3734.7</v>
      </c>
      <c r="L714" s="130"/>
      <c r="M714" s="130">
        <v>3734.7</v>
      </c>
      <c r="N714" s="130">
        <v>3734.7</v>
      </c>
      <c r="O714" s="130"/>
      <c r="P714" s="130">
        <v>3734.7</v>
      </c>
    </row>
    <row r="715" spans="1:22" ht="27" x14ac:dyDescent="0.3">
      <c r="A715" s="81"/>
      <c r="B715" s="81"/>
      <c r="C715" s="7"/>
      <c r="D715" s="7" t="s">
        <v>608</v>
      </c>
      <c r="E715" s="3" t="s">
        <v>609</v>
      </c>
      <c r="F715" s="130">
        <v>5119.8999999999996</v>
      </c>
      <c r="G715" s="130"/>
      <c r="H715" s="130">
        <v>5119.8999999999996</v>
      </c>
      <c r="I715" s="130"/>
      <c r="J715" s="130">
        <v>5119.8999999999996</v>
      </c>
      <c r="K715" s="130">
        <v>3734.7</v>
      </c>
      <c r="L715" s="130"/>
      <c r="M715" s="130">
        <v>3734.7</v>
      </c>
      <c r="N715" s="130">
        <v>3734.7</v>
      </c>
      <c r="O715" s="130"/>
      <c r="P715" s="130">
        <v>3734.7</v>
      </c>
    </row>
    <row r="716" spans="1:22" ht="14.45" x14ac:dyDescent="0.3">
      <c r="A716" s="80"/>
      <c r="B716" s="18">
        <v>1100</v>
      </c>
      <c r="C716" s="86"/>
      <c r="D716" s="85"/>
      <c r="E716" s="87" t="s">
        <v>689</v>
      </c>
      <c r="F716" s="137">
        <f>F717</f>
        <v>5368.9120000000003</v>
      </c>
      <c r="G716" s="137"/>
      <c r="H716" s="137">
        <f t="shared" ref="H716:J718" si="145">H717</f>
        <v>5156.21</v>
      </c>
      <c r="I716" s="137">
        <f t="shared" si="145"/>
        <v>-26.27327</v>
      </c>
      <c r="J716" s="137">
        <f t="shared" si="145"/>
        <v>5129.9367299999994</v>
      </c>
      <c r="K716" s="137">
        <f t="shared" ref="K716:P718" si="146">K717</f>
        <v>3526.8</v>
      </c>
      <c r="L716" s="137"/>
      <c r="M716" s="137">
        <f t="shared" si="146"/>
        <v>3526.8</v>
      </c>
      <c r="N716" s="137">
        <f t="shared" si="146"/>
        <v>6694.8</v>
      </c>
      <c r="O716" s="137"/>
      <c r="P716" s="137">
        <f t="shared" si="146"/>
        <v>6694.8</v>
      </c>
    </row>
    <row r="717" spans="1:22" ht="14.45" x14ac:dyDescent="0.3">
      <c r="A717" s="80"/>
      <c r="B717" s="18" t="s">
        <v>690</v>
      </c>
      <c r="C717" s="86"/>
      <c r="D717" s="18"/>
      <c r="E717" s="90" t="s">
        <v>691</v>
      </c>
      <c r="F717" s="137">
        <f>F718</f>
        <v>5368.9120000000003</v>
      </c>
      <c r="G717" s="137"/>
      <c r="H717" s="137">
        <f t="shared" si="145"/>
        <v>5156.21</v>
      </c>
      <c r="I717" s="137">
        <f t="shared" si="145"/>
        <v>-26.27327</v>
      </c>
      <c r="J717" s="137">
        <f t="shared" si="145"/>
        <v>5129.9367299999994</v>
      </c>
      <c r="K717" s="137">
        <f t="shared" si="146"/>
        <v>3526.8</v>
      </c>
      <c r="L717" s="137"/>
      <c r="M717" s="137">
        <f t="shared" si="146"/>
        <v>3526.8</v>
      </c>
      <c r="N717" s="137">
        <f t="shared" si="146"/>
        <v>6694.8</v>
      </c>
      <c r="O717" s="137"/>
      <c r="P717" s="137">
        <f t="shared" si="146"/>
        <v>6694.8</v>
      </c>
    </row>
    <row r="718" spans="1:22" ht="26.45" x14ac:dyDescent="0.3">
      <c r="A718" s="80"/>
      <c r="B718" s="18"/>
      <c r="C718" s="86" t="s">
        <v>6</v>
      </c>
      <c r="D718" s="18"/>
      <c r="E718" s="90" t="s">
        <v>7</v>
      </c>
      <c r="F718" s="137">
        <f>F719</f>
        <v>5368.9120000000003</v>
      </c>
      <c r="G718" s="137"/>
      <c r="H718" s="137">
        <f t="shared" si="145"/>
        <v>5156.21</v>
      </c>
      <c r="I718" s="137">
        <f t="shared" si="145"/>
        <v>-26.27327</v>
      </c>
      <c r="J718" s="137">
        <f t="shared" si="145"/>
        <v>5129.9367299999994</v>
      </c>
      <c r="K718" s="137">
        <f t="shared" si="146"/>
        <v>3526.8</v>
      </c>
      <c r="L718" s="137"/>
      <c r="M718" s="137">
        <f t="shared" si="146"/>
        <v>3526.8</v>
      </c>
      <c r="N718" s="137">
        <f t="shared" si="146"/>
        <v>6694.8</v>
      </c>
      <c r="O718" s="137"/>
      <c r="P718" s="137">
        <f t="shared" si="146"/>
        <v>6694.8</v>
      </c>
    </row>
    <row r="719" spans="1:22" ht="26.45" x14ac:dyDescent="0.3">
      <c r="A719" s="93"/>
      <c r="B719" s="94"/>
      <c r="C719" s="95" t="s">
        <v>306</v>
      </c>
      <c r="D719" s="94"/>
      <c r="E719" s="96" t="s">
        <v>307</v>
      </c>
      <c r="F719" s="138">
        <f>F720+F734+F727</f>
        <v>5368.9120000000003</v>
      </c>
      <c r="G719" s="138"/>
      <c r="H719" s="138">
        <f>H720+H734+H727</f>
        <v>5156.21</v>
      </c>
      <c r="I719" s="138">
        <f>I720+I734+I727</f>
        <v>-26.27327</v>
      </c>
      <c r="J719" s="138">
        <f>J720+J734+J727</f>
        <v>5129.9367299999994</v>
      </c>
      <c r="K719" s="138">
        <f>K720+K734+K727</f>
        <v>3526.8</v>
      </c>
      <c r="L719" s="138"/>
      <c r="M719" s="138">
        <f>M720+M734+M727</f>
        <v>3526.8</v>
      </c>
      <c r="N719" s="138">
        <f>N720+N734+N727</f>
        <v>6694.8</v>
      </c>
      <c r="O719" s="138"/>
      <c r="P719" s="138">
        <f>P720+P734+P727</f>
        <v>6694.8</v>
      </c>
    </row>
    <row r="720" spans="1:22" ht="40.15" x14ac:dyDescent="0.3">
      <c r="A720" s="36"/>
      <c r="B720" s="36"/>
      <c r="C720" s="36" t="s">
        <v>308</v>
      </c>
      <c r="D720" s="36"/>
      <c r="E720" s="37" t="s">
        <v>309</v>
      </c>
      <c r="F720" s="131">
        <f>F721+F723</f>
        <v>1868.912</v>
      </c>
      <c r="G720" s="131"/>
      <c r="H720" s="131">
        <f>H721+H723</f>
        <v>1596.31</v>
      </c>
      <c r="I720" s="131">
        <f>I721+I723</f>
        <v>0</v>
      </c>
      <c r="J720" s="131">
        <f>J721+J723</f>
        <v>1596.31</v>
      </c>
      <c r="K720" s="131">
        <f>K721</f>
        <v>1694.8</v>
      </c>
      <c r="L720" s="131"/>
      <c r="M720" s="131">
        <f>M721</f>
        <v>1694.8</v>
      </c>
      <c r="N720" s="131">
        <f>N721</f>
        <v>1694.8</v>
      </c>
      <c r="O720" s="131"/>
      <c r="P720" s="131">
        <f>P721</f>
        <v>1694.8</v>
      </c>
    </row>
    <row r="721" spans="1:16" ht="53.25" customHeight="1" x14ac:dyDescent="0.3">
      <c r="A721" s="81"/>
      <c r="B721" s="81"/>
      <c r="C721" s="7" t="s">
        <v>310</v>
      </c>
      <c r="D721" s="7"/>
      <c r="E721" s="3" t="s">
        <v>311</v>
      </c>
      <c r="F721" s="130">
        <f>F722</f>
        <v>1768</v>
      </c>
      <c r="G721" s="130"/>
      <c r="H721" s="130">
        <f>H722</f>
        <v>1487.5</v>
      </c>
      <c r="I721" s="130">
        <f>I722</f>
        <v>0</v>
      </c>
      <c r="J721" s="130">
        <f>J722</f>
        <v>1487.5</v>
      </c>
      <c r="K721" s="130">
        <f>1760.8-66</f>
        <v>1694.8</v>
      </c>
      <c r="L721" s="130"/>
      <c r="M721" s="130">
        <f>1760.8-66</f>
        <v>1694.8</v>
      </c>
      <c r="N721" s="130">
        <f>1760.8-66</f>
        <v>1694.8</v>
      </c>
      <c r="O721" s="130"/>
      <c r="P721" s="130">
        <f>1760.8-66</f>
        <v>1694.8</v>
      </c>
    </row>
    <row r="722" spans="1:16" ht="27" x14ac:dyDescent="0.3">
      <c r="A722" s="81"/>
      <c r="B722" s="81"/>
      <c r="C722" s="7"/>
      <c r="D722" s="7" t="s">
        <v>608</v>
      </c>
      <c r="E722" s="3" t="s">
        <v>609</v>
      </c>
      <c r="F722" s="130">
        <f>1760.8-66+73.2</f>
        <v>1768</v>
      </c>
      <c r="G722" s="130"/>
      <c r="H722" s="130">
        <v>1487.5</v>
      </c>
      <c r="I722" s="130"/>
      <c r="J722" s="130">
        <f>1760.8-66+73.2-280.5</f>
        <v>1487.5</v>
      </c>
      <c r="K722" s="130">
        <f>1760.8-66</f>
        <v>1694.8</v>
      </c>
      <c r="L722" s="130"/>
      <c r="M722" s="130">
        <f>1760.8-66</f>
        <v>1694.8</v>
      </c>
      <c r="N722" s="130">
        <f>1760.8-66</f>
        <v>1694.8</v>
      </c>
      <c r="O722" s="130"/>
      <c r="P722" s="130">
        <f>1760.8-66</f>
        <v>1694.8</v>
      </c>
    </row>
    <row r="723" spans="1:16" x14ac:dyDescent="0.25">
      <c r="A723" s="81"/>
      <c r="B723" s="81"/>
      <c r="C723" s="7" t="s">
        <v>762</v>
      </c>
      <c r="D723" s="7"/>
      <c r="E723" s="3" t="s">
        <v>763</v>
      </c>
      <c r="F723" s="130">
        <f>F724</f>
        <v>100.91200000000001</v>
      </c>
      <c r="G723" s="130"/>
      <c r="H723" s="130">
        <f>H724</f>
        <v>108.81</v>
      </c>
      <c r="I723" s="130">
        <f>I724</f>
        <v>0</v>
      </c>
      <c r="J723" s="130">
        <f>J724</f>
        <v>108.81</v>
      </c>
      <c r="K723" s="130"/>
      <c r="L723" s="130"/>
      <c r="M723" s="130">
        <v>0</v>
      </c>
      <c r="N723" s="130"/>
      <c r="O723" s="130"/>
      <c r="P723" s="130">
        <v>0</v>
      </c>
    </row>
    <row r="724" spans="1:16" ht="26.25" x14ac:dyDescent="0.25">
      <c r="A724" s="81"/>
      <c r="B724" s="81"/>
      <c r="C724" s="7"/>
      <c r="D724" s="7" t="s">
        <v>608</v>
      </c>
      <c r="E724" s="3" t="s">
        <v>609</v>
      </c>
      <c r="F724" s="130">
        <f>F725</f>
        <v>100.91200000000001</v>
      </c>
      <c r="G724" s="130"/>
      <c r="H724" s="130">
        <f>H726</f>
        <v>108.81</v>
      </c>
      <c r="I724" s="130">
        <f>I726</f>
        <v>0</v>
      </c>
      <c r="J724" s="130">
        <f>J726</f>
        <v>108.81</v>
      </c>
      <c r="K724" s="130"/>
      <c r="L724" s="130"/>
      <c r="M724" s="130">
        <v>0</v>
      </c>
      <c r="N724" s="130"/>
      <c r="O724" s="130"/>
      <c r="P724" s="130">
        <v>0</v>
      </c>
    </row>
    <row r="725" spans="1:16" ht="14.45" x14ac:dyDescent="0.3">
      <c r="A725" s="81"/>
      <c r="B725" s="81"/>
      <c r="C725" s="7"/>
      <c r="D725" s="7"/>
      <c r="E725" s="1" t="s">
        <v>219</v>
      </c>
      <c r="F725" s="130">
        <f>F726</f>
        <v>100.91200000000001</v>
      </c>
      <c r="G725" s="130"/>
      <c r="H725" s="130"/>
      <c r="I725" s="130"/>
      <c r="J725" s="130"/>
      <c r="K725" s="130"/>
      <c r="L725" s="130"/>
      <c r="M725" s="130"/>
      <c r="N725" s="130"/>
      <c r="O725" s="130"/>
      <c r="P725" s="130"/>
    </row>
    <row r="726" spans="1:16" x14ac:dyDescent="0.25">
      <c r="A726" s="81"/>
      <c r="B726" s="81"/>
      <c r="C726" s="7"/>
      <c r="D726" s="7"/>
      <c r="E726" s="1" t="s">
        <v>171</v>
      </c>
      <c r="F726" s="130">
        <v>100.91200000000001</v>
      </c>
      <c r="G726" s="130"/>
      <c r="H726" s="130">
        <v>108.81</v>
      </c>
      <c r="I726" s="146"/>
      <c r="J726" s="130">
        <f>SUM(H726:I726)</f>
        <v>108.81</v>
      </c>
      <c r="K726" s="130"/>
      <c r="L726" s="130"/>
      <c r="M726" s="130">
        <v>0</v>
      </c>
      <c r="N726" s="130"/>
      <c r="O726" s="130"/>
      <c r="P726" s="130">
        <v>0</v>
      </c>
    </row>
    <row r="727" spans="1:16" ht="40.15" x14ac:dyDescent="0.3">
      <c r="A727" s="36"/>
      <c r="B727" s="36"/>
      <c r="C727" s="36" t="s">
        <v>312</v>
      </c>
      <c r="D727" s="36"/>
      <c r="E727" s="37" t="s">
        <v>313</v>
      </c>
      <c r="F727" s="131">
        <f>F728</f>
        <v>3500</v>
      </c>
      <c r="G727" s="131"/>
      <c r="H727" s="131">
        <f>H728+H732</f>
        <v>3559.9</v>
      </c>
      <c r="I727" s="131">
        <f t="shared" ref="I727:J727" si="147">I728+I732</f>
        <v>-26.27327</v>
      </c>
      <c r="J727" s="131">
        <f t="shared" si="147"/>
        <v>3533.62673</v>
      </c>
      <c r="K727" s="131">
        <f t="shared" ref="H727:P728" si="148">K728</f>
        <v>1000</v>
      </c>
      <c r="L727" s="131"/>
      <c r="M727" s="131">
        <f t="shared" si="148"/>
        <v>1000</v>
      </c>
      <c r="N727" s="131">
        <f t="shared" si="148"/>
        <v>0</v>
      </c>
      <c r="O727" s="131"/>
      <c r="P727" s="131">
        <f t="shared" si="148"/>
        <v>0</v>
      </c>
    </row>
    <row r="728" spans="1:16" ht="40.15" x14ac:dyDescent="0.3">
      <c r="A728" s="81"/>
      <c r="B728" s="81"/>
      <c r="C728" s="7" t="s">
        <v>314</v>
      </c>
      <c r="D728" s="7"/>
      <c r="E728" s="3" t="s">
        <v>315</v>
      </c>
      <c r="F728" s="130">
        <f>F729</f>
        <v>3500</v>
      </c>
      <c r="G728" s="130"/>
      <c r="H728" s="130">
        <f t="shared" si="148"/>
        <v>3500</v>
      </c>
      <c r="I728" s="130">
        <f>I729</f>
        <v>-26.27327</v>
      </c>
      <c r="J728" s="130">
        <f t="shared" si="148"/>
        <v>3473.7267299999999</v>
      </c>
      <c r="K728" s="130">
        <f t="shared" si="148"/>
        <v>1000</v>
      </c>
      <c r="L728" s="130"/>
      <c r="M728" s="130">
        <f t="shared" si="148"/>
        <v>1000</v>
      </c>
      <c r="N728" s="130">
        <f t="shared" si="148"/>
        <v>0</v>
      </c>
      <c r="O728" s="130"/>
      <c r="P728" s="130">
        <f t="shared" si="148"/>
        <v>0</v>
      </c>
    </row>
    <row r="729" spans="1:16" ht="27" x14ac:dyDescent="0.3">
      <c r="A729" s="81"/>
      <c r="B729" s="81"/>
      <c r="C729" s="7"/>
      <c r="D729" s="7" t="s">
        <v>608</v>
      </c>
      <c r="E729" s="3" t="s">
        <v>609</v>
      </c>
      <c r="F729" s="130">
        <f>F730+F731</f>
        <v>3500</v>
      </c>
      <c r="G729" s="130"/>
      <c r="H729" s="130">
        <f>H730+H731</f>
        <v>3500</v>
      </c>
      <c r="I729" s="130">
        <f>I731</f>
        <v>-26.27327</v>
      </c>
      <c r="J729" s="130">
        <f>J730+J731</f>
        <v>3473.7267299999999</v>
      </c>
      <c r="K729" s="130">
        <f>K730+K731</f>
        <v>1000</v>
      </c>
      <c r="L729" s="130"/>
      <c r="M729" s="130">
        <f>M730+M731</f>
        <v>1000</v>
      </c>
      <c r="N729" s="130">
        <v>0</v>
      </c>
      <c r="O729" s="130"/>
      <c r="P729" s="130">
        <v>0</v>
      </c>
    </row>
    <row r="730" spans="1:16" ht="14.45" x14ac:dyDescent="0.3">
      <c r="A730" s="81"/>
      <c r="B730" s="81"/>
      <c r="C730" s="7"/>
      <c r="D730" s="7"/>
      <c r="E730" s="3" t="s">
        <v>183</v>
      </c>
      <c r="F730" s="130">
        <v>2625</v>
      </c>
      <c r="G730" s="130"/>
      <c r="H730" s="130">
        <v>2625</v>
      </c>
      <c r="I730" s="130"/>
      <c r="J730" s="130">
        <v>2625</v>
      </c>
      <c r="K730" s="130">
        <v>0</v>
      </c>
      <c r="L730" s="130"/>
      <c r="M730" s="130">
        <v>0</v>
      </c>
      <c r="N730" s="146">
        <v>0</v>
      </c>
      <c r="O730" s="146"/>
      <c r="P730" s="146">
        <v>0</v>
      </c>
    </row>
    <row r="731" spans="1:16" ht="14.45" x14ac:dyDescent="0.3">
      <c r="A731" s="81"/>
      <c r="B731" s="81"/>
      <c r="C731" s="7"/>
      <c r="D731" s="7"/>
      <c r="E731" s="3" t="s">
        <v>120</v>
      </c>
      <c r="F731" s="130">
        <f>900-25</f>
        <v>875</v>
      </c>
      <c r="G731" s="130"/>
      <c r="H731" s="130">
        <f>900-25</f>
        <v>875</v>
      </c>
      <c r="I731" s="130">
        <v>-26.27327</v>
      </c>
      <c r="J731" s="130">
        <f>H731+I731</f>
        <v>848.72672999999998</v>
      </c>
      <c r="K731" s="130">
        <v>1000</v>
      </c>
      <c r="L731" s="130"/>
      <c r="M731" s="130">
        <v>1000</v>
      </c>
      <c r="N731" s="130">
        <v>0</v>
      </c>
      <c r="O731" s="130"/>
      <c r="P731" s="130">
        <v>0</v>
      </c>
    </row>
    <row r="732" spans="1:16" ht="51.75" x14ac:dyDescent="0.25">
      <c r="A732" s="81"/>
      <c r="B732" s="81"/>
      <c r="C732" s="7" t="s">
        <v>836</v>
      </c>
      <c r="D732" s="7"/>
      <c r="E732" s="3" t="s">
        <v>835</v>
      </c>
      <c r="F732" s="130"/>
      <c r="G732" s="130"/>
      <c r="H732" s="130">
        <f t="shared" ref="H732:J732" si="149">H733</f>
        <v>59.9</v>
      </c>
      <c r="I732" s="130"/>
      <c r="J732" s="130">
        <f t="shared" si="149"/>
        <v>59.9</v>
      </c>
      <c r="K732" s="130"/>
      <c r="L732" s="130"/>
      <c r="M732" s="130">
        <v>0</v>
      </c>
      <c r="N732" s="130"/>
      <c r="O732" s="130"/>
      <c r="P732" s="130">
        <v>0</v>
      </c>
    </row>
    <row r="733" spans="1:16" ht="26.25" x14ac:dyDescent="0.25">
      <c r="A733" s="81"/>
      <c r="B733" s="81"/>
      <c r="C733" s="7"/>
      <c r="D733" s="7" t="s">
        <v>608</v>
      </c>
      <c r="E733" s="3" t="s">
        <v>609</v>
      </c>
      <c r="F733" s="130"/>
      <c r="G733" s="130"/>
      <c r="H733" s="130">
        <v>59.9</v>
      </c>
      <c r="I733" s="130"/>
      <c r="J733" s="130">
        <v>59.9</v>
      </c>
      <c r="K733" s="130"/>
      <c r="L733" s="130"/>
      <c r="M733" s="130">
        <v>0</v>
      </c>
      <c r="N733" s="130"/>
      <c r="O733" s="130"/>
      <c r="P733" s="130">
        <v>0</v>
      </c>
    </row>
    <row r="734" spans="1:16" ht="27" x14ac:dyDescent="0.3">
      <c r="A734" s="36"/>
      <c r="B734" s="36"/>
      <c r="C734" s="36" t="s">
        <v>562</v>
      </c>
      <c r="D734" s="36"/>
      <c r="E734" s="37" t="s">
        <v>563</v>
      </c>
      <c r="F734" s="131">
        <f>F735</f>
        <v>0</v>
      </c>
      <c r="G734" s="131"/>
      <c r="H734" s="131">
        <f>H735</f>
        <v>0</v>
      </c>
      <c r="I734" s="131"/>
      <c r="J734" s="131">
        <f>J735</f>
        <v>0</v>
      </c>
      <c r="K734" s="131">
        <f>K739+K735</f>
        <v>832</v>
      </c>
      <c r="L734" s="131"/>
      <c r="M734" s="131">
        <f>M739+M735</f>
        <v>832</v>
      </c>
      <c r="N734" s="131">
        <f>N739+N735</f>
        <v>5000</v>
      </c>
      <c r="O734" s="131"/>
      <c r="P734" s="131">
        <f>P739+P735</f>
        <v>5000</v>
      </c>
    </row>
    <row r="735" spans="1:16" ht="27" x14ac:dyDescent="0.3">
      <c r="A735" s="81"/>
      <c r="B735" s="81"/>
      <c r="C735" s="7" t="s">
        <v>564</v>
      </c>
      <c r="D735" s="7"/>
      <c r="E735" s="3" t="s">
        <v>316</v>
      </c>
      <c r="F735" s="130">
        <v>0</v>
      </c>
      <c r="G735" s="130"/>
      <c r="H735" s="130">
        <v>0</v>
      </c>
      <c r="I735" s="130"/>
      <c r="J735" s="130">
        <v>0</v>
      </c>
      <c r="K735" s="130">
        <v>0</v>
      </c>
      <c r="L735" s="130"/>
      <c r="M735" s="130">
        <v>0</v>
      </c>
      <c r="N735" s="130">
        <v>5000</v>
      </c>
      <c r="O735" s="130"/>
      <c r="P735" s="130">
        <v>5000</v>
      </c>
    </row>
    <row r="736" spans="1:16" ht="27" x14ac:dyDescent="0.3">
      <c r="A736" s="81"/>
      <c r="B736" s="81"/>
      <c r="C736" s="7"/>
      <c r="D736" s="7" t="s">
        <v>608</v>
      </c>
      <c r="E736" s="3" t="s">
        <v>609</v>
      </c>
      <c r="F736" s="130">
        <v>0</v>
      </c>
      <c r="G736" s="130"/>
      <c r="H736" s="130">
        <v>0</v>
      </c>
      <c r="I736" s="130"/>
      <c r="J736" s="130">
        <v>0</v>
      </c>
      <c r="K736" s="130">
        <v>0</v>
      </c>
      <c r="L736" s="130"/>
      <c r="M736" s="130">
        <v>0</v>
      </c>
      <c r="N736" s="130">
        <v>5000</v>
      </c>
      <c r="O736" s="130"/>
      <c r="P736" s="130">
        <v>5000</v>
      </c>
    </row>
    <row r="737" spans="1:16" ht="14.45" x14ac:dyDescent="0.3">
      <c r="A737" s="81"/>
      <c r="B737" s="81"/>
      <c r="C737" s="7"/>
      <c r="D737" s="7"/>
      <c r="E737" s="3" t="s">
        <v>183</v>
      </c>
      <c r="F737" s="146">
        <v>0</v>
      </c>
      <c r="G737" s="146"/>
      <c r="H737" s="146">
        <v>0</v>
      </c>
      <c r="I737" s="146"/>
      <c r="J737" s="146">
        <v>0</v>
      </c>
      <c r="K737" s="146">
        <v>0</v>
      </c>
      <c r="L737" s="146"/>
      <c r="M737" s="146">
        <v>0</v>
      </c>
      <c r="N737" s="146">
        <v>0</v>
      </c>
      <c r="O737" s="146"/>
      <c r="P737" s="146">
        <v>0</v>
      </c>
    </row>
    <row r="738" spans="1:16" ht="14.45" x14ac:dyDescent="0.3">
      <c r="A738" s="81"/>
      <c r="B738" s="81"/>
      <c r="C738" s="7"/>
      <c r="D738" s="7"/>
      <c r="E738" s="3" t="s">
        <v>120</v>
      </c>
      <c r="F738" s="130">
        <v>0</v>
      </c>
      <c r="G738" s="130"/>
      <c r="H738" s="130">
        <v>0</v>
      </c>
      <c r="I738" s="130"/>
      <c r="J738" s="130">
        <v>0</v>
      </c>
      <c r="K738" s="130">
        <v>0</v>
      </c>
      <c r="L738" s="130"/>
      <c r="M738" s="130">
        <v>0</v>
      </c>
      <c r="N738" s="130">
        <v>5000</v>
      </c>
      <c r="O738" s="130"/>
      <c r="P738" s="130">
        <v>5000</v>
      </c>
    </row>
    <row r="739" spans="1:16" ht="27" x14ac:dyDescent="0.3">
      <c r="A739" s="81"/>
      <c r="B739" s="81"/>
      <c r="C739" s="7" t="s">
        <v>565</v>
      </c>
      <c r="D739" s="7"/>
      <c r="E739" s="3" t="s">
        <v>317</v>
      </c>
      <c r="F739" s="130">
        <v>0</v>
      </c>
      <c r="G739" s="130"/>
      <c r="H739" s="130">
        <v>0</v>
      </c>
      <c r="I739" s="130"/>
      <c r="J739" s="130">
        <v>0</v>
      </c>
      <c r="K739" s="130">
        <v>832</v>
      </c>
      <c r="L739" s="130"/>
      <c r="M739" s="130">
        <v>832</v>
      </c>
      <c r="N739" s="130">
        <v>0</v>
      </c>
      <c r="O739" s="130"/>
      <c r="P739" s="130">
        <v>0</v>
      </c>
    </row>
    <row r="740" spans="1:16" ht="27" x14ac:dyDescent="0.3">
      <c r="A740" s="81"/>
      <c r="B740" s="81"/>
      <c r="C740" s="7"/>
      <c r="D740" s="7" t="s">
        <v>608</v>
      </c>
      <c r="E740" s="3" t="s">
        <v>609</v>
      </c>
      <c r="F740" s="130">
        <v>0</v>
      </c>
      <c r="G740" s="130"/>
      <c r="H740" s="130">
        <v>0</v>
      </c>
      <c r="I740" s="130"/>
      <c r="J740" s="130">
        <v>0</v>
      </c>
      <c r="K740" s="130">
        <v>832</v>
      </c>
      <c r="L740" s="130"/>
      <c r="M740" s="130">
        <v>832</v>
      </c>
      <c r="N740" s="130">
        <v>0</v>
      </c>
      <c r="O740" s="130"/>
      <c r="P740" s="130">
        <v>0</v>
      </c>
    </row>
    <row r="741" spans="1:16" ht="26.45" x14ac:dyDescent="0.3">
      <c r="A741" s="83">
        <v>621</v>
      </c>
      <c r="B741" s="106"/>
      <c r="C741" s="107"/>
      <c r="D741" s="83"/>
      <c r="E741" s="84" t="s">
        <v>692</v>
      </c>
      <c r="F741" s="152">
        <f t="shared" ref="F741:O741" si="150">F742+F758+F782+F848+F861+F868</f>
        <v>91006.412999999986</v>
      </c>
      <c r="G741" s="152">
        <f t="shared" si="150"/>
        <v>-92.94211</v>
      </c>
      <c r="H741" s="152">
        <f>H742+H758+H782+H848+H861+H868</f>
        <v>92536.970889999982</v>
      </c>
      <c r="I741" s="152">
        <f>I742+I758+I782+I848+I861+I868</f>
        <v>132</v>
      </c>
      <c r="J741" s="152">
        <f t="shared" si="150"/>
        <v>92668.970889999982</v>
      </c>
      <c r="K741" s="152">
        <f t="shared" si="150"/>
        <v>87530.5</v>
      </c>
      <c r="L741" s="152">
        <f t="shared" si="150"/>
        <v>0</v>
      </c>
      <c r="M741" s="152">
        <f t="shared" si="150"/>
        <v>87530.5</v>
      </c>
      <c r="N741" s="152">
        <f t="shared" si="150"/>
        <v>87397.7</v>
      </c>
      <c r="O741" s="152">
        <f t="shared" si="150"/>
        <v>0</v>
      </c>
      <c r="P741" s="152">
        <f>P742+P758+P782+P848+P861+P868</f>
        <v>87397.7</v>
      </c>
    </row>
    <row r="742" spans="1:16" ht="14.45" x14ac:dyDescent="0.3">
      <c r="A742" s="109"/>
      <c r="B742" s="18" t="s">
        <v>615</v>
      </c>
      <c r="C742" s="86"/>
      <c r="D742" s="85"/>
      <c r="E742" s="87" t="s">
        <v>752</v>
      </c>
      <c r="F742" s="137">
        <f>F743</f>
        <v>96.5</v>
      </c>
      <c r="G742" s="137"/>
      <c r="H742" s="137">
        <f>H743</f>
        <v>96.5</v>
      </c>
      <c r="I742" s="137"/>
      <c r="J742" s="137">
        <f>J743</f>
        <v>96.5</v>
      </c>
      <c r="K742" s="137">
        <f t="shared" ref="K742:P744" si="151">K743</f>
        <v>100.30000000000001</v>
      </c>
      <c r="L742" s="137"/>
      <c r="M742" s="137">
        <f t="shared" si="151"/>
        <v>100.30000000000001</v>
      </c>
      <c r="N742" s="137">
        <f t="shared" si="151"/>
        <v>104.4</v>
      </c>
      <c r="O742" s="137"/>
      <c r="P742" s="137">
        <f t="shared" si="151"/>
        <v>104.4</v>
      </c>
    </row>
    <row r="743" spans="1:16" ht="14.45" x14ac:dyDescent="0.3">
      <c r="A743" s="109"/>
      <c r="B743" s="18" t="s">
        <v>627</v>
      </c>
      <c r="C743" s="86"/>
      <c r="D743" s="85"/>
      <c r="E743" s="87" t="s">
        <v>628</v>
      </c>
      <c r="F743" s="137">
        <f>F744</f>
        <v>96.5</v>
      </c>
      <c r="G743" s="137"/>
      <c r="H743" s="137">
        <f>H744</f>
        <v>96.5</v>
      </c>
      <c r="I743" s="137"/>
      <c r="J743" s="137">
        <f>J744</f>
        <v>96.5</v>
      </c>
      <c r="K743" s="137">
        <f t="shared" si="151"/>
        <v>100.30000000000001</v>
      </c>
      <c r="L743" s="137"/>
      <c r="M743" s="137">
        <f t="shared" si="151"/>
        <v>100.30000000000001</v>
      </c>
      <c r="N743" s="137">
        <f t="shared" si="151"/>
        <v>104.4</v>
      </c>
      <c r="O743" s="137"/>
      <c r="P743" s="137">
        <f t="shared" si="151"/>
        <v>104.4</v>
      </c>
    </row>
    <row r="744" spans="1:16" ht="26.45" x14ac:dyDescent="0.3">
      <c r="A744" s="110"/>
      <c r="B744" s="18"/>
      <c r="C744" s="86" t="s">
        <v>6</v>
      </c>
      <c r="D744" s="85"/>
      <c r="E744" s="90" t="s">
        <v>7</v>
      </c>
      <c r="F744" s="137">
        <f>F745</f>
        <v>96.5</v>
      </c>
      <c r="G744" s="137"/>
      <c r="H744" s="137">
        <f>H745</f>
        <v>96.5</v>
      </c>
      <c r="I744" s="137"/>
      <c r="J744" s="137">
        <f>J745</f>
        <v>96.5</v>
      </c>
      <c r="K744" s="137">
        <f t="shared" si="151"/>
        <v>100.30000000000001</v>
      </c>
      <c r="L744" s="137"/>
      <c r="M744" s="137">
        <f t="shared" si="151"/>
        <v>100.30000000000001</v>
      </c>
      <c r="N744" s="137">
        <f t="shared" si="151"/>
        <v>104.4</v>
      </c>
      <c r="O744" s="137"/>
      <c r="P744" s="137">
        <f t="shared" si="151"/>
        <v>104.4</v>
      </c>
    </row>
    <row r="745" spans="1:16" ht="26.45" x14ac:dyDescent="0.3">
      <c r="A745" s="93"/>
      <c r="B745" s="94"/>
      <c r="C745" s="95" t="s">
        <v>190</v>
      </c>
      <c r="D745" s="94"/>
      <c r="E745" s="96" t="s">
        <v>191</v>
      </c>
      <c r="F745" s="138">
        <f>F746+F750+F754</f>
        <v>96.5</v>
      </c>
      <c r="G745" s="138"/>
      <c r="H745" s="138">
        <f>H746+H750+H754</f>
        <v>96.5</v>
      </c>
      <c r="I745" s="138"/>
      <c r="J745" s="138">
        <f>J746+J750+J754</f>
        <v>96.5</v>
      </c>
      <c r="K745" s="138">
        <f>K746+K750+K754</f>
        <v>100.30000000000001</v>
      </c>
      <c r="L745" s="138"/>
      <c r="M745" s="138">
        <f>M746+M750+M754</f>
        <v>100.30000000000001</v>
      </c>
      <c r="N745" s="138">
        <f>N746+N750+N754</f>
        <v>104.4</v>
      </c>
      <c r="O745" s="138"/>
      <c r="P745" s="138">
        <f>P746+P750+P754</f>
        <v>104.4</v>
      </c>
    </row>
    <row r="746" spans="1:16" ht="27" x14ac:dyDescent="0.3">
      <c r="A746" s="34"/>
      <c r="B746" s="34"/>
      <c r="C746" s="34" t="s">
        <v>198</v>
      </c>
      <c r="D746" s="34"/>
      <c r="E746" s="35" t="s">
        <v>199</v>
      </c>
      <c r="F746" s="139">
        <f>F747</f>
        <v>10</v>
      </c>
      <c r="G746" s="139"/>
      <c r="H746" s="139">
        <f t="shared" ref="H746:P747" si="152">H747</f>
        <v>10</v>
      </c>
      <c r="I746" s="139"/>
      <c r="J746" s="139">
        <f t="shared" si="152"/>
        <v>10</v>
      </c>
      <c r="K746" s="139">
        <f t="shared" si="152"/>
        <v>10.3</v>
      </c>
      <c r="L746" s="139"/>
      <c r="M746" s="139">
        <f t="shared" si="152"/>
        <v>10.3</v>
      </c>
      <c r="N746" s="139">
        <f t="shared" si="152"/>
        <v>10.8</v>
      </c>
      <c r="O746" s="139"/>
      <c r="P746" s="139">
        <f t="shared" si="152"/>
        <v>10.8</v>
      </c>
    </row>
    <row r="747" spans="1:16" ht="27" x14ac:dyDescent="0.3">
      <c r="A747" s="36"/>
      <c r="B747" s="36"/>
      <c r="C747" s="36" t="s">
        <v>200</v>
      </c>
      <c r="D747" s="36"/>
      <c r="E747" s="37" t="s">
        <v>201</v>
      </c>
      <c r="F747" s="131">
        <f>F748</f>
        <v>10</v>
      </c>
      <c r="G747" s="131"/>
      <c r="H747" s="131">
        <f t="shared" si="152"/>
        <v>10</v>
      </c>
      <c r="I747" s="131"/>
      <c r="J747" s="131">
        <f t="shared" si="152"/>
        <v>10</v>
      </c>
      <c r="K747" s="131">
        <f t="shared" si="152"/>
        <v>10.3</v>
      </c>
      <c r="L747" s="131"/>
      <c r="M747" s="131">
        <f t="shared" si="152"/>
        <v>10.3</v>
      </c>
      <c r="N747" s="131">
        <f t="shared" si="152"/>
        <v>10.8</v>
      </c>
      <c r="O747" s="131"/>
      <c r="P747" s="131">
        <f t="shared" si="152"/>
        <v>10.8</v>
      </c>
    </row>
    <row r="748" spans="1:16" ht="27" x14ac:dyDescent="0.3">
      <c r="A748" s="81"/>
      <c r="B748" s="81"/>
      <c r="C748" s="7" t="s">
        <v>202</v>
      </c>
      <c r="D748" s="7"/>
      <c r="E748" s="3" t="s">
        <v>203</v>
      </c>
      <c r="F748" s="130">
        <v>10</v>
      </c>
      <c r="G748" s="130"/>
      <c r="H748" s="130">
        <v>10</v>
      </c>
      <c r="I748" s="130"/>
      <c r="J748" s="130">
        <v>10</v>
      </c>
      <c r="K748" s="130">
        <v>10.3</v>
      </c>
      <c r="L748" s="130"/>
      <c r="M748" s="130">
        <v>10.3</v>
      </c>
      <c r="N748" s="130">
        <v>10.8</v>
      </c>
      <c r="O748" s="130"/>
      <c r="P748" s="130">
        <v>10.8</v>
      </c>
    </row>
    <row r="749" spans="1:16" ht="27" x14ac:dyDescent="0.3">
      <c r="A749" s="81"/>
      <c r="B749" s="81"/>
      <c r="C749" s="7"/>
      <c r="D749" s="7" t="s">
        <v>608</v>
      </c>
      <c r="E749" s="3" t="s">
        <v>609</v>
      </c>
      <c r="F749" s="130">
        <v>10</v>
      </c>
      <c r="G749" s="130"/>
      <c r="H749" s="130">
        <v>10</v>
      </c>
      <c r="I749" s="130"/>
      <c r="J749" s="130">
        <v>10</v>
      </c>
      <c r="K749" s="130">
        <v>10.3</v>
      </c>
      <c r="L749" s="130"/>
      <c r="M749" s="130">
        <v>10.3</v>
      </c>
      <c r="N749" s="130">
        <v>10.8</v>
      </c>
      <c r="O749" s="130"/>
      <c r="P749" s="130">
        <v>10.8</v>
      </c>
    </row>
    <row r="750" spans="1:16" ht="27" x14ac:dyDescent="0.3">
      <c r="A750" s="34"/>
      <c r="B750" s="34"/>
      <c r="C750" s="34" t="s">
        <v>204</v>
      </c>
      <c r="D750" s="34"/>
      <c r="E750" s="35" t="s">
        <v>205</v>
      </c>
      <c r="F750" s="139">
        <f t="shared" ref="F750:P751" si="153">F751</f>
        <v>26.5</v>
      </c>
      <c r="G750" s="139"/>
      <c r="H750" s="139">
        <f t="shared" si="153"/>
        <v>26.5</v>
      </c>
      <c r="I750" s="139"/>
      <c r="J750" s="139">
        <f t="shared" si="153"/>
        <v>26.5</v>
      </c>
      <c r="K750" s="139">
        <f t="shared" si="153"/>
        <v>27.6</v>
      </c>
      <c r="L750" s="139"/>
      <c r="M750" s="139">
        <f t="shared" si="153"/>
        <v>27.6</v>
      </c>
      <c r="N750" s="139">
        <f t="shared" si="153"/>
        <v>28.7</v>
      </c>
      <c r="O750" s="139"/>
      <c r="P750" s="139">
        <f t="shared" si="153"/>
        <v>28.7</v>
      </c>
    </row>
    <row r="751" spans="1:16" ht="27" x14ac:dyDescent="0.3">
      <c r="A751" s="36"/>
      <c r="B751" s="36"/>
      <c r="C751" s="36" t="s">
        <v>206</v>
      </c>
      <c r="D751" s="36"/>
      <c r="E751" s="37" t="s">
        <v>207</v>
      </c>
      <c r="F751" s="131">
        <f t="shared" si="153"/>
        <v>26.5</v>
      </c>
      <c r="G751" s="131"/>
      <c r="H751" s="131">
        <f t="shared" si="153"/>
        <v>26.5</v>
      </c>
      <c r="I751" s="131"/>
      <c r="J751" s="131">
        <f t="shared" si="153"/>
        <v>26.5</v>
      </c>
      <c r="K751" s="131">
        <f t="shared" si="153"/>
        <v>27.6</v>
      </c>
      <c r="L751" s="131"/>
      <c r="M751" s="131">
        <f t="shared" si="153"/>
        <v>27.6</v>
      </c>
      <c r="N751" s="131">
        <f t="shared" si="153"/>
        <v>28.7</v>
      </c>
      <c r="O751" s="131"/>
      <c r="P751" s="131">
        <f t="shared" si="153"/>
        <v>28.7</v>
      </c>
    </row>
    <row r="752" spans="1:16" ht="27" x14ac:dyDescent="0.3">
      <c r="A752" s="81"/>
      <c r="B752" s="81"/>
      <c r="C752" s="7" t="s">
        <v>208</v>
      </c>
      <c r="D752" s="7"/>
      <c r="E752" s="3" t="s">
        <v>209</v>
      </c>
      <c r="F752" s="146">
        <v>26.5</v>
      </c>
      <c r="G752" s="146"/>
      <c r="H752" s="146">
        <v>26.5</v>
      </c>
      <c r="I752" s="146"/>
      <c r="J752" s="146">
        <v>26.5</v>
      </c>
      <c r="K752" s="146">
        <v>27.6</v>
      </c>
      <c r="L752" s="146"/>
      <c r="M752" s="146">
        <v>27.6</v>
      </c>
      <c r="N752" s="146">
        <v>28.7</v>
      </c>
      <c r="O752" s="146"/>
      <c r="P752" s="146">
        <v>28.7</v>
      </c>
    </row>
    <row r="753" spans="1:16" ht="27" x14ac:dyDescent="0.3">
      <c r="A753" s="81"/>
      <c r="B753" s="81"/>
      <c r="C753" s="7"/>
      <c r="D753" s="7" t="s">
        <v>608</v>
      </c>
      <c r="E753" s="3" t="s">
        <v>609</v>
      </c>
      <c r="F753" s="146">
        <v>26.5</v>
      </c>
      <c r="G753" s="146"/>
      <c r="H753" s="146">
        <v>26.5</v>
      </c>
      <c r="I753" s="146"/>
      <c r="J753" s="146">
        <v>26.5</v>
      </c>
      <c r="K753" s="146">
        <v>27.6</v>
      </c>
      <c r="L753" s="146"/>
      <c r="M753" s="146">
        <v>27.6</v>
      </c>
      <c r="N753" s="146">
        <v>28.7</v>
      </c>
      <c r="O753" s="146"/>
      <c r="P753" s="146">
        <v>28.7</v>
      </c>
    </row>
    <row r="754" spans="1:16" ht="14.45" x14ac:dyDescent="0.3">
      <c r="A754" s="34"/>
      <c r="B754" s="34"/>
      <c r="C754" s="34" t="s">
        <v>554</v>
      </c>
      <c r="D754" s="34"/>
      <c r="E754" s="35" t="s">
        <v>210</v>
      </c>
      <c r="F754" s="139">
        <f t="shared" ref="F754:P755" si="154">F755</f>
        <v>60</v>
      </c>
      <c r="G754" s="139"/>
      <c r="H754" s="139">
        <f t="shared" si="154"/>
        <v>60</v>
      </c>
      <c r="I754" s="139"/>
      <c r="J754" s="139">
        <f t="shared" si="154"/>
        <v>60</v>
      </c>
      <c r="K754" s="139">
        <f t="shared" si="154"/>
        <v>62.4</v>
      </c>
      <c r="L754" s="139"/>
      <c r="M754" s="139">
        <f t="shared" si="154"/>
        <v>62.4</v>
      </c>
      <c r="N754" s="139">
        <f t="shared" si="154"/>
        <v>64.900000000000006</v>
      </c>
      <c r="O754" s="139"/>
      <c r="P754" s="139">
        <f t="shared" si="154"/>
        <v>64.900000000000006</v>
      </c>
    </row>
    <row r="755" spans="1:16" ht="27" x14ac:dyDescent="0.3">
      <c r="A755" s="36"/>
      <c r="B755" s="36"/>
      <c r="C755" s="36" t="s">
        <v>555</v>
      </c>
      <c r="D755" s="36"/>
      <c r="E755" s="37" t="s">
        <v>211</v>
      </c>
      <c r="F755" s="131">
        <f t="shared" si="154"/>
        <v>60</v>
      </c>
      <c r="G755" s="131"/>
      <c r="H755" s="131">
        <f t="shared" si="154"/>
        <v>60</v>
      </c>
      <c r="I755" s="131"/>
      <c r="J755" s="131">
        <f t="shared" si="154"/>
        <v>60</v>
      </c>
      <c r="K755" s="131">
        <f t="shared" si="154"/>
        <v>62.4</v>
      </c>
      <c r="L755" s="131"/>
      <c r="M755" s="131">
        <f t="shared" si="154"/>
        <v>62.4</v>
      </c>
      <c r="N755" s="131">
        <f t="shared" si="154"/>
        <v>64.900000000000006</v>
      </c>
      <c r="O755" s="131"/>
      <c r="P755" s="131">
        <f t="shared" si="154"/>
        <v>64.900000000000006</v>
      </c>
    </row>
    <row r="756" spans="1:16" ht="27" x14ac:dyDescent="0.3">
      <c r="A756" s="81"/>
      <c r="B756" s="81"/>
      <c r="C756" s="7" t="s">
        <v>758</v>
      </c>
      <c r="D756" s="7"/>
      <c r="E756" s="3" t="s">
        <v>212</v>
      </c>
      <c r="F756" s="130">
        <v>60</v>
      </c>
      <c r="G756" s="130"/>
      <c r="H756" s="130">
        <v>60</v>
      </c>
      <c r="I756" s="130"/>
      <c r="J756" s="130">
        <v>60</v>
      </c>
      <c r="K756" s="130">
        <v>62.4</v>
      </c>
      <c r="L756" s="130"/>
      <c r="M756" s="130">
        <v>62.4</v>
      </c>
      <c r="N756" s="130">
        <v>64.900000000000006</v>
      </c>
      <c r="O756" s="130"/>
      <c r="P756" s="130">
        <v>64.900000000000006</v>
      </c>
    </row>
    <row r="757" spans="1:16" ht="27" x14ac:dyDescent="0.3">
      <c r="A757" s="81"/>
      <c r="B757" s="81"/>
      <c r="C757" s="7"/>
      <c r="D757" s="7" t="s">
        <v>608</v>
      </c>
      <c r="E757" s="3" t="s">
        <v>609</v>
      </c>
      <c r="F757" s="130">
        <v>60</v>
      </c>
      <c r="G757" s="130"/>
      <c r="H757" s="130">
        <v>60</v>
      </c>
      <c r="I757" s="130"/>
      <c r="J757" s="130">
        <v>60</v>
      </c>
      <c r="K757" s="130">
        <v>62.4</v>
      </c>
      <c r="L757" s="130"/>
      <c r="M757" s="130">
        <v>62.4</v>
      </c>
      <c r="N757" s="130">
        <v>64.900000000000006</v>
      </c>
      <c r="O757" s="130"/>
      <c r="P757" s="130">
        <v>64.900000000000006</v>
      </c>
    </row>
    <row r="758" spans="1:16" ht="14.45" x14ac:dyDescent="0.3">
      <c r="A758" s="110"/>
      <c r="B758" s="18" t="s">
        <v>667</v>
      </c>
      <c r="C758" s="86"/>
      <c r="D758" s="85"/>
      <c r="E758" s="87" t="s">
        <v>668</v>
      </c>
      <c r="F758" s="137">
        <f>F759+F766</f>
        <v>18918.599999999999</v>
      </c>
      <c r="G758" s="137"/>
      <c r="H758" s="137">
        <f>H759+H766</f>
        <v>18918.599999999999</v>
      </c>
      <c r="I758" s="137"/>
      <c r="J758" s="137">
        <f>J759+J766</f>
        <v>18918.599999999999</v>
      </c>
      <c r="K758" s="137">
        <f>K759+K766</f>
        <v>18944.099999999999</v>
      </c>
      <c r="L758" s="137"/>
      <c r="M758" s="137">
        <f>M759+M766</f>
        <v>18944.099999999999</v>
      </c>
      <c r="N758" s="137">
        <f>N759+N766</f>
        <v>18970.2</v>
      </c>
      <c r="O758" s="137"/>
      <c r="P758" s="137">
        <f>P759+P766</f>
        <v>18970.2</v>
      </c>
    </row>
    <row r="759" spans="1:16" ht="14.45" x14ac:dyDescent="0.3">
      <c r="A759" s="110"/>
      <c r="B759" s="18" t="s">
        <v>683</v>
      </c>
      <c r="C759" s="86"/>
      <c r="D759" s="85"/>
      <c r="E759" s="87" t="s">
        <v>684</v>
      </c>
      <c r="F759" s="137">
        <f>F760</f>
        <v>18484.099999999999</v>
      </c>
      <c r="G759" s="137"/>
      <c r="H759" s="137">
        <f>H760</f>
        <v>18484.099999999999</v>
      </c>
      <c r="I759" s="137"/>
      <c r="J759" s="137">
        <f>J760</f>
        <v>18484.099999999999</v>
      </c>
      <c r="K759" s="137">
        <f t="shared" ref="K759:P761" si="155">K760</f>
        <v>18504.5</v>
      </c>
      <c r="L759" s="137"/>
      <c r="M759" s="137">
        <f t="shared" si="155"/>
        <v>18504.5</v>
      </c>
      <c r="N759" s="137">
        <f t="shared" si="155"/>
        <v>18525.400000000001</v>
      </c>
      <c r="O759" s="137"/>
      <c r="P759" s="137">
        <f t="shared" si="155"/>
        <v>18525.400000000001</v>
      </c>
    </row>
    <row r="760" spans="1:16" ht="26.45" x14ac:dyDescent="0.3">
      <c r="A760" s="110"/>
      <c r="B760" s="18"/>
      <c r="C760" s="86" t="s">
        <v>6</v>
      </c>
      <c r="D760" s="18"/>
      <c r="E760" s="90" t="s">
        <v>7</v>
      </c>
      <c r="F760" s="137">
        <f>F761</f>
        <v>18484.099999999999</v>
      </c>
      <c r="G760" s="137"/>
      <c r="H760" s="137">
        <f>H761</f>
        <v>18484.099999999999</v>
      </c>
      <c r="I760" s="137"/>
      <c r="J760" s="137">
        <f>J761</f>
        <v>18484.099999999999</v>
      </c>
      <c r="K760" s="137">
        <f t="shared" si="155"/>
        <v>18504.5</v>
      </c>
      <c r="L760" s="137"/>
      <c r="M760" s="137">
        <f t="shared" si="155"/>
        <v>18504.5</v>
      </c>
      <c r="N760" s="137">
        <f t="shared" si="155"/>
        <v>18525.400000000001</v>
      </c>
      <c r="O760" s="137"/>
      <c r="P760" s="137">
        <f t="shared" si="155"/>
        <v>18525.400000000001</v>
      </c>
    </row>
    <row r="761" spans="1:16" ht="39.6" x14ac:dyDescent="0.3">
      <c r="A761" s="93"/>
      <c r="B761" s="94"/>
      <c r="C761" s="95" t="s">
        <v>251</v>
      </c>
      <c r="D761" s="94"/>
      <c r="E761" s="96" t="s">
        <v>252</v>
      </c>
      <c r="F761" s="138">
        <f>F762</f>
        <v>18484.099999999999</v>
      </c>
      <c r="G761" s="138"/>
      <c r="H761" s="138">
        <f>H762</f>
        <v>18484.099999999999</v>
      </c>
      <c r="I761" s="138"/>
      <c r="J761" s="138">
        <f>J762</f>
        <v>18484.099999999999</v>
      </c>
      <c r="K761" s="138">
        <f t="shared" si="155"/>
        <v>18504.5</v>
      </c>
      <c r="L761" s="138"/>
      <c r="M761" s="138">
        <f t="shared" si="155"/>
        <v>18504.5</v>
      </c>
      <c r="N761" s="138">
        <f t="shared" si="155"/>
        <v>18525.400000000001</v>
      </c>
      <c r="O761" s="138"/>
      <c r="P761" s="138">
        <f t="shared" si="155"/>
        <v>18525.400000000001</v>
      </c>
    </row>
    <row r="762" spans="1:16" ht="27" x14ac:dyDescent="0.3">
      <c r="A762" s="34"/>
      <c r="B762" s="34"/>
      <c r="C762" s="34" t="s">
        <v>253</v>
      </c>
      <c r="D762" s="34"/>
      <c r="E762" s="35" t="s">
        <v>254</v>
      </c>
      <c r="F762" s="139">
        <f>F763</f>
        <v>18484.099999999999</v>
      </c>
      <c r="G762" s="139"/>
      <c r="H762" s="139">
        <f>H763</f>
        <v>18484.099999999999</v>
      </c>
      <c r="I762" s="139"/>
      <c r="J762" s="139">
        <f>J763</f>
        <v>18484.099999999999</v>
      </c>
      <c r="K762" s="139">
        <f>K763</f>
        <v>18504.5</v>
      </c>
      <c r="L762" s="139"/>
      <c r="M762" s="139">
        <f>M763</f>
        <v>18504.5</v>
      </c>
      <c r="N762" s="139">
        <f>N763</f>
        <v>18525.400000000001</v>
      </c>
      <c r="O762" s="139"/>
      <c r="P762" s="139">
        <f>P763</f>
        <v>18525.400000000001</v>
      </c>
    </row>
    <row r="763" spans="1:16" ht="27" x14ac:dyDescent="0.3">
      <c r="A763" s="36"/>
      <c r="B763" s="36"/>
      <c r="C763" s="36" t="s">
        <v>266</v>
      </c>
      <c r="D763" s="36"/>
      <c r="E763" s="37" t="s">
        <v>267</v>
      </c>
      <c r="F763" s="131">
        <f>F764</f>
        <v>18484.099999999999</v>
      </c>
      <c r="G763" s="131"/>
      <c r="H763" s="131">
        <f>H764</f>
        <v>18484.099999999999</v>
      </c>
      <c r="I763" s="131"/>
      <c r="J763" s="131">
        <f>J764</f>
        <v>18484.099999999999</v>
      </c>
      <c r="K763" s="131">
        <f>K764</f>
        <v>18504.5</v>
      </c>
      <c r="L763" s="131"/>
      <c r="M763" s="131">
        <f>M764</f>
        <v>18504.5</v>
      </c>
      <c r="N763" s="131">
        <f>N764</f>
        <v>18525.400000000001</v>
      </c>
      <c r="O763" s="131"/>
      <c r="P763" s="131">
        <f>P764</f>
        <v>18525.400000000001</v>
      </c>
    </row>
    <row r="764" spans="1:16" ht="14.45" x14ac:dyDescent="0.3">
      <c r="A764" s="81"/>
      <c r="B764" s="81"/>
      <c r="C764" s="7" t="s">
        <v>268</v>
      </c>
      <c r="D764" s="7"/>
      <c r="E764" s="9" t="s">
        <v>560</v>
      </c>
      <c r="F764" s="130">
        <f>19408.5-924.4</f>
        <v>18484.099999999999</v>
      </c>
      <c r="G764" s="130"/>
      <c r="H764" s="130">
        <f>19408.5-924.4</f>
        <v>18484.099999999999</v>
      </c>
      <c r="I764" s="130"/>
      <c r="J764" s="130">
        <f>19408.5-924.4</f>
        <v>18484.099999999999</v>
      </c>
      <c r="K764" s="130">
        <f>20184.8-1680.3</f>
        <v>18504.5</v>
      </c>
      <c r="L764" s="130"/>
      <c r="M764" s="130">
        <f>20184.8-1680.3</f>
        <v>18504.5</v>
      </c>
      <c r="N764" s="130">
        <f>20992.2-2466.8</f>
        <v>18525.400000000001</v>
      </c>
      <c r="O764" s="130"/>
      <c r="P764" s="130">
        <f>20992.2-2466.8</f>
        <v>18525.400000000001</v>
      </c>
    </row>
    <row r="765" spans="1:16" ht="27" x14ac:dyDescent="0.3">
      <c r="A765" s="81"/>
      <c r="B765" s="81"/>
      <c r="C765" s="7"/>
      <c r="D765" s="7" t="s">
        <v>608</v>
      </c>
      <c r="E765" s="3" t="s">
        <v>609</v>
      </c>
      <c r="F765" s="130">
        <f>19408.5-924.4</f>
        <v>18484.099999999999</v>
      </c>
      <c r="G765" s="130"/>
      <c r="H765" s="130">
        <f>19408.5-924.4</f>
        <v>18484.099999999999</v>
      </c>
      <c r="I765" s="130"/>
      <c r="J765" s="130">
        <f>19408.5-924.4</f>
        <v>18484.099999999999</v>
      </c>
      <c r="K765" s="130">
        <f>20184.8-1680.3</f>
        <v>18504.5</v>
      </c>
      <c r="L765" s="130"/>
      <c r="M765" s="130">
        <f>20184.8-1680.3</f>
        <v>18504.5</v>
      </c>
      <c r="N765" s="130">
        <f>20992.2-2466.8</f>
        <v>18525.400000000001</v>
      </c>
      <c r="O765" s="130"/>
      <c r="P765" s="130">
        <f>20992.2-2466.8</f>
        <v>18525.400000000001</v>
      </c>
    </row>
    <row r="766" spans="1:16" ht="14.45" x14ac:dyDescent="0.3">
      <c r="A766" s="109"/>
      <c r="B766" s="18" t="s">
        <v>687</v>
      </c>
      <c r="C766" s="86"/>
      <c r="D766" s="18"/>
      <c r="E766" s="87" t="s">
        <v>789</v>
      </c>
      <c r="F766" s="137">
        <f>F767</f>
        <v>434.5</v>
      </c>
      <c r="G766" s="137"/>
      <c r="H766" s="137">
        <f>H767</f>
        <v>434.5</v>
      </c>
      <c r="I766" s="137"/>
      <c r="J766" s="137">
        <f>J767</f>
        <v>434.5</v>
      </c>
      <c r="K766" s="137">
        <f>K767</f>
        <v>439.6</v>
      </c>
      <c r="L766" s="137"/>
      <c r="M766" s="137">
        <f>M767</f>
        <v>439.6</v>
      </c>
      <c r="N766" s="137">
        <f>N767</f>
        <v>444.8</v>
      </c>
      <c r="O766" s="137"/>
      <c r="P766" s="137">
        <f>P767</f>
        <v>444.8</v>
      </c>
    </row>
    <row r="767" spans="1:16" ht="26.45" x14ac:dyDescent="0.3">
      <c r="A767" s="109"/>
      <c r="B767" s="18"/>
      <c r="C767" s="86" t="s">
        <v>6</v>
      </c>
      <c r="D767" s="18"/>
      <c r="E767" s="90" t="s">
        <v>7</v>
      </c>
      <c r="F767" s="137">
        <f>F768+F773</f>
        <v>434.5</v>
      </c>
      <c r="G767" s="137"/>
      <c r="H767" s="137">
        <f>H768+H773</f>
        <v>434.5</v>
      </c>
      <c r="I767" s="137"/>
      <c r="J767" s="137">
        <f>J768+J773</f>
        <v>434.5</v>
      </c>
      <c r="K767" s="137">
        <f>K768+K773</f>
        <v>439.6</v>
      </c>
      <c r="L767" s="137"/>
      <c r="M767" s="137">
        <f>M768+M773</f>
        <v>439.6</v>
      </c>
      <c r="N767" s="137">
        <f>N768+N773</f>
        <v>444.8</v>
      </c>
      <c r="O767" s="137"/>
      <c r="P767" s="137">
        <f>P768+P773</f>
        <v>444.8</v>
      </c>
    </row>
    <row r="768" spans="1:16" ht="26.45" x14ac:dyDescent="0.3">
      <c r="A768" s="93"/>
      <c r="B768" s="94"/>
      <c r="C768" s="95" t="s">
        <v>65</v>
      </c>
      <c r="D768" s="94"/>
      <c r="E768" s="96" t="s">
        <v>66</v>
      </c>
      <c r="F768" s="138">
        <f>F769</f>
        <v>127.5</v>
      </c>
      <c r="G768" s="138"/>
      <c r="H768" s="138">
        <f>H769</f>
        <v>127.5</v>
      </c>
      <c r="I768" s="138"/>
      <c r="J768" s="138">
        <f>J769</f>
        <v>127.5</v>
      </c>
      <c r="K768" s="138">
        <f>K769</f>
        <v>132.6</v>
      </c>
      <c r="L768" s="138"/>
      <c r="M768" s="138">
        <f>M769</f>
        <v>132.6</v>
      </c>
      <c r="N768" s="138">
        <f>N769</f>
        <v>137.80000000000001</v>
      </c>
      <c r="O768" s="138"/>
      <c r="P768" s="138">
        <f>P769</f>
        <v>137.80000000000001</v>
      </c>
    </row>
    <row r="769" spans="1:16" ht="27" x14ac:dyDescent="0.3">
      <c r="A769" s="34"/>
      <c r="B769" s="34"/>
      <c r="C769" s="34" t="s">
        <v>138</v>
      </c>
      <c r="D769" s="34"/>
      <c r="E769" s="38" t="s">
        <v>139</v>
      </c>
      <c r="F769" s="139">
        <f t="shared" ref="F769:P770" si="156">F770</f>
        <v>127.5</v>
      </c>
      <c r="G769" s="139"/>
      <c r="H769" s="139">
        <f t="shared" si="156"/>
        <v>127.5</v>
      </c>
      <c r="I769" s="139"/>
      <c r="J769" s="139">
        <f t="shared" si="156"/>
        <v>127.5</v>
      </c>
      <c r="K769" s="139">
        <f t="shared" si="156"/>
        <v>132.6</v>
      </c>
      <c r="L769" s="139"/>
      <c r="M769" s="139">
        <f t="shared" si="156"/>
        <v>132.6</v>
      </c>
      <c r="N769" s="139">
        <f t="shared" si="156"/>
        <v>137.80000000000001</v>
      </c>
      <c r="O769" s="139"/>
      <c r="P769" s="139">
        <f t="shared" si="156"/>
        <v>137.80000000000001</v>
      </c>
    </row>
    <row r="770" spans="1:16" ht="27" x14ac:dyDescent="0.3">
      <c r="A770" s="36"/>
      <c r="B770" s="36"/>
      <c r="C770" s="36" t="s">
        <v>140</v>
      </c>
      <c r="D770" s="36"/>
      <c r="E770" s="37" t="s">
        <v>141</v>
      </c>
      <c r="F770" s="131">
        <f>F771</f>
        <v>127.5</v>
      </c>
      <c r="G770" s="131"/>
      <c r="H770" s="131">
        <f>H771</f>
        <v>127.5</v>
      </c>
      <c r="I770" s="131"/>
      <c r="J770" s="131">
        <f>J771</f>
        <v>127.5</v>
      </c>
      <c r="K770" s="131">
        <f t="shared" si="156"/>
        <v>132.6</v>
      </c>
      <c r="L770" s="131"/>
      <c r="M770" s="131">
        <f t="shared" si="156"/>
        <v>132.6</v>
      </c>
      <c r="N770" s="131">
        <f t="shared" si="156"/>
        <v>137.80000000000001</v>
      </c>
      <c r="O770" s="131"/>
      <c r="P770" s="131">
        <f t="shared" si="156"/>
        <v>137.80000000000001</v>
      </c>
    </row>
    <row r="771" spans="1:16" ht="27" x14ac:dyDescent="0.3">
      <c r="A771" s="81"/>
      <c r="B771" s="81"/>
      <c r="C771" s="7" t="s">
        <v>144</v>
      </c>
      <c r="D771" s="7"/>
      <c r="E771" s="3" t="s">
        <v>145</v>
      </c>
      <c r="F771" s="130">
        <v>127.5</v>
      </c>
      <c r="G771" s="130"/>
      <c r="H771" s="130">
        <v>127.5</v>
      </c>
      <c r="I771" s="130"/>
      <c r="J771" s="130">
        <v>127.5</v>
      </c>
      <c r="K771" s="130">
        <v>132.6</v>
      </c>
      <c r="L771" s="130"/>
      <c r="M771" s="130">
        <v>132.6</v>
      </c>
      <c r="N771" s="130">
        <v>137.80000000000001</v>
      </c>
      <c r="O771" s="130"/>
      <c r="P771" s="130">
        <v>137.80000000000001</v>
      </c>
    </row>
    <row r="772" spans="1:16" ht="27" x14ac:dyDescent="0.3">
      <c r="A772" s="81"/>
      <c r="B772" s="81"/>
      <c r="C772" s="7"/>
      <c r="D772" s="7" t="s">
        <v>608</v>
      </c>
      <c r="E772" s="3" t="s">
        <v>609</v>
      </c>
      <c r="F772" s="130">
        <v>127.5</v>
      </c>
      <c r="G772" s="130"/>
      <c r="H772" s="130">
        <v>127.5</v>
      </c>
      <c r="I772" s="130"/>
      <c r="J772" s="130">
        <v>127.5</v>
      </c>
      <c r="K772" s="130">
        <v>132.6</v>
      </c>
      <c r="L772" s="130"/>
      <c r="M772" s="130">
        <v>132.6</v>
      </c>
      <c r="N772" s="130">
        <v>137.80000000000001</v>
      </c>
      <c r="O772" s="130"/>
      <c r="P772" s="130">
        <v>137.80000000000001</v>
      </c>
    </row>
    <row r="773" spans="1:16" ht="39.6" x14ac:dyDescent="0.3">
      <c r="A773" s="93"/>
      <c r="B773" s="94"/>
      <c r="C773" s="95" t="s">
        <v>251</v>
      </c>
      <c r="D773" s="94"/>
      <c r="E773" s="96" t="s">
        <v>252</v>
      </c>
      <c r="F773" s="138">
        <f>F774</f>
        <v>307</v>
      </c>
      <c r="G773" s="138"/>
      <c r="H773" s="138">
        <f t="shared" ref="H773:P774" si="157">H774</f>
        <v>307</v>
      </c>
      <c r="I773" s="138"/>
      <c r="J773" s="138">
        <f t="shared" si="157"/>
        <v>307</v>
      </c>
      <c r="K773" s="138">
        <f t="shared" si="157"/>
        <v>307</v>
      </c>
      <c r="L773" s="138"/>
      <c r="M773" s="138">
        <f t="shared" si="157"/>
        <v>307</v>
      </c>
      <c r="N773" s="138">
        <f t="shared" si="157"/>
        <v>307</v>
      </c>
      <c r="O773" s="138"/>
      <c r="P773" s="138">
        <f t="shared" si="157"/>
        <v>307</v>
      </c>
    </row>
    <row r="774" spans="1:16" ht="14.45" x14ac:dyDescent="0.3">
      <c r="A774" s="34"/>
      <c r="B774" s="34"/>
      <c r="C774" s="34" t="s">
        <v>293</v>
      </c>
      <c r="D774" s="34"/>
      <c r="E774" s="35" t="s">
        <v>294</v>
      </c>
      <c r="F774" s="139">
        <f>F775</f>
        <v>307</v>
      </c>
      <c r="G774" s="139"/>
      <c r="H774" s="139">
        <f t="shared" si="157"/>
        <v>307</v>
      </c>
      <c r="I774" s="139"/>
      <c r="J774" s="139">
        <f t="shared" si="157"/>
        <v>307</v>
      </c>
      <c r="K774" s="139">
        <f t="shared" si="157"/>
        <v>307</v>
      </c>
      <c r="L774" s="139"/>
      <c r="M774" s="139">
        <f t="shared" si="157"/>
        <v>307</v>
      </c>
      <c r="N774" s="139">
        <f t="shared" si="157"/>
        <v>307</v>
      </c>
      <c r="O774" s="139"/>
      <c r="P774" s="139">
        <f t="shared" si="157"/>
        <v>307</v>
      </c>
    </row>
    <row r="775" spans="1:16" ht="27" x14ac:dyDescent="0.3">
      <c r="A775" s="36"/>
      <c r="B775" s="36"/>
      <c r="C775" s="36" t="s">
        <v>295</v>
      </c>
      <c r="D775" s="36"/>
      <c r="E775" s="37" t="s">
        <v>296</v>
      </c>
      <c r="F775" s="131">
        <f>F776+F778</f>
        <v>307</v>
      </c>
      <c r="G775" s="131"/>
      <c r="H775" s="131">
        <f>H776+H778</f>
        <v>307</v>
      </c>
      <c r="I775" s="131"/>
      <c r="J775" s="131">
        <f>J776+J778</f>
        <v>307</v>
      </c>
      <c r="K775" s="131">
        <f>K776+K778</f>
        <v>307</v>
      </c>
      <c r="L775" s="131"/>
      <c r="M775" s="131">
        <f>M776+M778</f>
        <v>307</v>
      </c>
      <c r="N775" s="131">
        <f>N776+N778</f>
        <v>307</v>
      </c>
      <c r="O775" s="131"/>
      <c r="P775" s="131">
        <f>P776+P778</f>
        <v>307</v>
      </c>
    </row>
    <row r="776" spans="1:16" ht="93" x14ac:dyDescent="0.3">
      <c r="A776" s="81"/>
      <c r="B776" s="81"/>
      <c r="C776" s="7" t="s">
        <v>297</v>
      </c>
      <c r="D776" s="7"/>
      <c r="E776" s="3" t="s">
        <v>298</v>
      </c>
      <c r="F776" s="130">
        <v>157</v>
      </c>
      <c r="G776" s="130"/>
      <c r="H776" s="130">
        <v>157</v>
      </c>
      <c r="I776" s="130"/>
      <c r="J776" s="130">
        <v>157</v>
      </c>
      <c r="K776" s="130">
        <v>157</v>
      </c>
      <c r="L776" s="130"/>
      <c r="M776" s="130">
        <v>157</v>
      </c>
      <c r="N776" s="130">
        <v>157</v>
      </c>
      <c r="O776" s="130"/>
      <c r="P776" s="130">
        <v>157</v>
      </c>
    </row>
    <row r="777" spans="1:16" ht="27" x14ac:dyDescent="0.3">
      <c r="A777" s="81"/>
      <c r="B777" s="81"/>
      <c r="C777" s="7"/>
      <c r="D777" s="7" t="s">
        <v>608</v>
      </c>
      <c r="E777" s="3" t="s">
        <v>609</v>
      </c>
      <c r="F777" s="130">
        <v>157</v>
      </c>
      <c r="G777" s="130"/>
      <c r="H777" s="130">
        <v>157</v>
      </c>
      <c r="I777" s="130"/>
      <c r="J777" s="130">
        <v>157</v>
      </c>
      <c r="K777" s="130">
        <v>157</v>
      </c>
      <c r="L777" s="130"/>
      <c r="M777" s="130">
        <v>157</v>
      </c>
      <c r="N777" s="130">
        <v>157</v>
      </c>
      <c r="O777" s="130"/>
      <c r="P777" s="130">
        <v>157</v>
      </c>
    </row>
    <row r="778" spans="1:16" ht="14.45" x14ac:dyDescent="0.3">
      <c r="A778" s="81"/>
      <c r="B778" s="81"/>
      <c r="C778" s="17" t="s">
        <v>299</v>
      </c>
      <c r="D778" s="17"/>
      <c r="E778" s="1" t="s">
        <v>300</v>
      </c>
      <c r="F778" s="130">
        <v>150</v>
      </c>
      <c r="G778" s="130"/>
      <c r="H778" s="130">
        <v>150</v>
      </c>
      <c r="I778" s="130"/>
      <c r="J778" s="130">
        <v>150</v>
      </c>
      <c r="K778" s="130">
        <v>150</v>
      </c>
      <c r="L778" s="130"/>
      <c r="M778" s="130">
        <v>150</v>
      </c>
      <c r="N778" s="130">
        <v>150</v>
      </c>
      <c r="O778" s="130"/>
      <c r="P778" s="130">
        <v>150</v>
      </c>
    </row>
    <row r="779" spans="1:16" ht="27" x14ac:dyDescent="0.3">
      <c r="A779" s="81"/>
      <c r="B779" s="81"/>
      <c r="C779" s="17"/>
      <c r="D779" s="7" t="s">
        <v>608</v>
      </c>
      <c r="E779" s="3" t="s">
        <v>609</v>
      </c>
      <c r="F779" s="130">
        <v>150</v>
      </c>
      <c r="G779" s="130"/>
      <c r="H779" s="130">
        <v>150</v>
      </c>
      <c r="I779" s="130"/>
      <c r="J779" s="130">
        <v>150</v>
      </c>
      <c r="K779" s="130">
        <v>150</v>
      </c>
      <c r="L779" s="130"/>
      <c r="M779" s="130">
        <v>150</v>
      </c>
      <c r="N779" s="130">
        <v>150</v>
      </c>
      <c r="O779" s="130"/>
      <c r="P779" s="130">
        <v>150</v>
      </c>
    </row>
    <row r="780" spans="1:16" ht="14.45" x14ac:dyDescent="0.3">
      <c r="A780" s="81"/>
      <c r="B780" s="81"/>
      <c r="C780" s="7"/>
      <c r="D780" s="7"/>
      <c r="E780" s="1" t="s">
        <v>219</v>
      </c>
      <c r="F780" s="130">
        <v>0</v>
      </c>
      <c r="G780" s="130"/>
      <c r="H780" s="130">
        <v>0</v>
      </c>
      <c r="I780" s="130"/>
      <c r="J780" s="130">
        <v>0</v>
      </c>
      <c r="K780" s="130">
        <v>0</v>
      </c>
      <c r="L780" s="130"/>
      <c r="M780" s="130">
        <v>0</v>
      </c>
      <c r="N780" s="130">
        <v>0</v>
      </c>
      <c r="O780" s="130"/>
      <c r="P780" s="130">
        <v>0</v>
      </c>
    </row>
    <row r="781" spans="1:16" ht="14.45" x14ac:dyDescent="0.3">
      <c r="A781" s="81"/>
      <c r="B781" s="81"/>
      <c r="C781" s="7"/>
      <c r="D781" s="7"/>
      <c r="E781" s="1" t="s">
        <v>171</v>
      </c>
      <c r="F781" s="130">
        <v>150</v>
      </c>
      <c r="G781" s="130"/>
      <c r="H781" s="130">
        <v>150</v>
      </c>
      <c r="I781" s="130"/>
      <c r="J781" s="130">
        <v>150</v>
      </c>
      <c r="K781" s="130">
        <v>150</v>
      </c>
      <c r="L781" s="130"/>
      <c r="M781" s="130">
        <v>150</v>
      </c>
      <c r="N781" s="130">
        <v>150</v>
      </c>
      <c r="O781" s="130"/>
      <c r="P781" s="130">
        <v>150</v>
      </c>
    </row>
    <row r="782" spans="1:16" ht="14.45" x14ac:dyDescent="0.3">
      <c r="A782" s="85"/>
      <c r="B782" s="18" t="s">
        <v>694</v>
      </c>
      <c r="C782" s="86"/>
      <c r="D782" s="85"/>
      <c r="E782" s="87" t="s">
        <v>695</v>
      </c>
      <c r="F782" s="137">
        <f t="shared" ref="F782:O782" si="158">F783+F830</f>
        <v>70131.512999999992</v>
      </c>
      <c r="G782" s="137">
        <f t="shared" si="158"/>
        <v>-92.94211</v>
      </c>
      <c r="H782" s="137">
        <f t="shared" si="158"/>
        <v>71662.070889999988</v>
      </c>
      <c r="I782" s="137">
        <f t="shared" si="158"/>
        <v>132</v>
      </c>
      <c r="J782" s="137">
        <f t="shared" si="158"/>
        <v>71794.070889999988</v>
      </c>
      <c r="K782" s="137">
        <f t="shared" si="158"/>
        <v>66702.400000000009</v>
      </c>
      <c r="L782" s="137">
        <f t="shared" si="158"/>
        <v>0</v>
      </c>
      <c r="M782" s="137">
        <f t="shared" si="158"/>
        <v>66702.400000000009</v>
      </c>
      <c r="N782" s="137">
        <f t="shared" si="158"/>
        <v>66539.399999999994</v>
      </c>
      <c r="O782" s="137">
        <f t="shared" si="158"/>
        <v>0</v>
      </c>
      <c r="P782" s="137">
        <f>P783+P830</f>
        <v>66539.399999999994</v>
      </c>
    </row>
    <row r="783" spans="1:16" ht="14.45" x14ac:dyDescent="0.3">
      <c r="A783" s="80"/>
      <c r="B783" s="18" t="s">
        <v>696</v>
      </c>
      <c r="C783" s="86"/>
      <c r="D783" s="85"/>
      <c r="E783" s="87" t="s">
        <v>697</v>
      </c>
      <c r="F783" s="137">
        <f t="shared" ref="F783:J785" si="159">F784</f>
        <v>64902.112999999998</v>
      </c>
      <c r="G783" s="137">
        <f t="shared" si="159"/>
        <v>0.15789</v>
      </c>
      <c r="H783" s="137">
        <f t="shared" si="159"/>
        <v>66388.370889999991</v>
      </c>
      <c r="I783" s="137">
        <f t="shared" si="159"/>
        <v>100</v>
      </c>
      <c r="J783" s="137">
        <f t="shared" si="159"/>
        <v>66488.370889999991</v>
      </c>
      <c r="K783" s="137">
        <f>K784</f>
        <v>61372.3</v>
      </c>
      <c r="L783" s="137">
        <f>L784</f>
        <v>0</v>
      </c>
      <c r="M783" s="137">
        <f t="shared" ref="K783:P785" si="160">M784</f>
        <v>61372.3</v>
      </c>
      <c r="N783" s="137">
        <f t="shared" si="160"/>
        <v>61143.199999999997</v>
      </c>
      <c r="O783" s="137"/>
      <c r="P783" s="137">
        <f t="shared" si="160"/>
        <v>61143.199999999997</v>
      </c>
    </row>
    <row r="784" spans="1:16" ht="26.45" x14ac:dyDescent="0.3">
      <c r="A784" s="80"/>
      <c r="B784" s="18"/>
      <c r="C784" s="86" t="s">
        <v>6</v>
      </c>
      <c r="D784" s="18"/>
      <c r="E784" s="90" t="s">
        <v>7</v>
      </c>
      <c r="F784" s="137">
        <f t="shared" si="159"/>
        <v>64902.112999999998</v>
      </c>
      <c r="G784" s="137">
        <f t="shared" si="159"/>
        <v>0.15789</v>
      </c>
      <c r="H784" s="137">
        <f t="shared" si="159"/>
        <v>66388.370889999991</v>
      </c>
      <c r="I784" s="137">
        <f t="shared" si="159"/>
        <v>100</v>
      </c>
      <c r="J784" s="137">
        <f t="shared" si="159"/>
        <v>66488.370889999991</v>
      </c>
      <c r="K784" s="137">
        <f>K785</f>
        <v>61372.3</v>
      </c>
      <c r="L784" s="137">
        <f>L785</f>
        <v>0</v>
      </c>
      <c r="M784" s="137">
        <f t="shared" si="160"/>
        <v>61372.3</v>
      </c>
      <c r="N784" s="137">
        <f t="shared" si="160"/>
        <v>61143.199999999997</v>
      </c>
      <c r="O784" s="137"/>
      <c r="P784" s="137">
        <f t="shared" si="160"/>
        <v>61143.199999999997</v>
      </c>
    </row>
    <row r="785" spans="1:18" ht="39.6" x14ac:dyDescent="0.3">
      <c r="A785" s="93"/>
      <c r="B785" s="94"/>
      <c r="C785" s="95" t="s">
        <v>251</v>
      </c>
      <c r="D785" s="94"/>
      <c r="E785" s="96" t="s">
        <v>252</v>
      </c>
      <c r="F785" s="138">
        <f t="shared" si="159"/>
        <v>64902.112999999998</v>
      </c>
      <c r="G785" s="138">
        <f t="shared" si="159"/>
        <v>0.15789</v>
      </c>
      <c r="H785" s="138">
        <f>H786</f>
        <v>66388.370889999991</v>
      </c>
      <c r="I785" s="138">
        <f>I786</f>
        <v>100</v>
      </c>
      <c r="J785" s="138">
        <f t="shared" si="159"/>
        <v>66488.370889999991</v>
      </c>
      <c r="K785" s="138">
        <f t="shared" si="160"/>
        <v>61372.3</v>
      </c>
      <c r="L785" s="138">
        <f t="shared" si="160"/>
        <v>0</v>
      </c>
      <c r="M785" s="138">
        <f t="shared" si="160"/>
        <v>61372.3</v>
      </c>
      <c r="N785" s="138">
        <f t="shared" si="160"/>
        <v>61143.199999999997</v>
      </c>
      <c r="O785" s="138"/>
      <c r="P785" s="138">
        <f t="shared" si="160"/>
        <v>61143.199999999997</v>
      </c>
    </row>
    <row r="786" spans="1:18" ht="27" x14ac:dyDescent="0.3">
      <c r="A786" s="34"/>
      <c r="B786" s="34"/>
      <c r="C786" s="34" t="s">
        <v>253</v>
      </c>
      <c r="D786" s="34"/>
      <c r="E786" s="35" t="s">
        <v>254</v>
      </c>
      <c r="F786" s="139">
        <f>F787+F790+F797+F800</f>
        <v>64902.112999999998</v>
      </c>
      <c r="G786" s="139">
        <f>G787+G790+G797+G800+G823</f>
        <v>0.15789</v>
      </c>
      <c r="H786" s="139">
        <f>H787+H790+H797+H800+H823</f>
        <v>66388.370889999991</v>
      </c>
      <c r="I786" s="139">
        <f>I787+I790+I797+I800+I823</f>
        <v>100</v>
      </c>
      <c r="J786" s="139">
        <f>J787+J790+J797+J800+J823</f>
        <v>66488.370889999991</v>
      </c>
      <c r="K786" s="139">
        <f>K787+K790+K797+K800</f>
        <v>61372.3</v>
      </c>
      <c r="L786" s="139">
        <f>L787+L790+L797+L800</f>
        <v>0</v>
      </c>
      <c r="M786" s="139">
        <f>M787+M790+M797+M800</f>
        <v>61372.3</v>
      </c>
      <c r="N786" s="139">
        <f>N787+N790+N797+N800</f>
        <v>61143.199999999997</v>
      </c>
      <c r="O786" s="139"/>
      <c r="P786" s="139">
        <f>P787+P790+P797+P800</f>
        <v>61143.199999999997</v>
      </c>
    </row>
    <row r="787" spans="1:18" ht="40.15" x14ac:dyDescent="0.3">
      <c r="A787" s="36"/>
      <c r="B787" s="36"/>
      <c r="C787" s="36" t="s">
        <v>255</v>
      </c>
      <c r="D787" s="36"/>
      <c r="E787" s="37" t="s">
        <v>256</v>
      </c>
      <c r="F787" s="131">
        <f>F788</f>
        <v>41891.1</v>
      </c>
      <c r="G787" s="131"/>
      <c r="H787" s="131">
        <f>H788</f>
        <v>41891.1</v>
      </c>
      <c r="I787" s="131"/>
      <c r="J787" s="131">
        <f>J788</f>
        <v>41891.1</v>
      </c>
      <c r="K787" s="131">
        <f>K788</f>
        <v>42099.4</v>
      </c>
      <c r="L787" s="131"/>
      <c r="M787" s="131">
        <f>M788</f>
        <v>42099.4</v>
      </c>
      <c r="N787" s="131">
        <f>N788</f>
        <v>42316.2</v>
      </c>
      <c r="O787" s="131"/>
      <c r="P787" s="131">
        <f>P788</f>
        <v>42316.2</v>
      </c>
    </row>
    <row r="788" spans="1:18" ht="27" x14ac:dyDescent="0.3">
      <c r="A788" s="7"/>
      <c r="B788" s="7"/>
      <c r="C788" s="7" t="s">
        <v>257</v>
      </c>
      <c r="D788" s="7"/>
      <c r="E788" s="9" t="s">
        <v>557</v>
      </c>
      <c r="F788" s="130">
        <f>44018.7-2127.6</f>
        <v>41891.1</v>
      </c>
      <c r="G788" s="130"/>
      <c r="H788" s="130">
        <f>44018.7-2127.6</f>
        <v>41891.1</v>
      </c>
      <c r="I788" s="130"/>
      <c r="J788" s="130">
        <f>44018.7-2127.6</f>
        <v>41891.1</v>
      </c>
      <c r="K788" s="130">
        <f>45779.4-3680</f>
        <v>42099.4</v>
      </c>
      <c r="L788" s="130"/>
      <c r="M788" s="130">
        <f>45779.4-3680</f>
        <v>42099.4</v>
      </c>
      <c r="N788" s="130">
        <f>47610.6-5294.4</f>
        <v>42316.2</v>
      </c>
      <c r="O788" s="130"/>
      <c r="P788" s="130">
        <f>47610.6-5294.4</f>
        <v>42316.2</v>
      </c>
    </row>
    <row r="789" spans="1:18" ht="27" x14ac:dyDescent="0.3">
      <c r="A789" s="7"/>
      <c r="B789" s="7"/>
      <c r="C789" s="7"/>
      <c r="D789" s="7" t="s">
        <v>608</v>
      </c>
      <c r="E789" s="3" t="s">
        <v>609</v>
      </c>
      <c r="F789" s="130">
        <f>44018.7-2127.6</f>
        <v>41891.1</v>
      </c>
      <c r="G789" s="130"/>
      <c r="H789" s="130">
        <f>44018.7-2127.6</f>
        <v>41891.1</v>
      </c>
      <c r="I789" s="130"/>
      <c r="J789" s="130">
        <f>44018.7-2127.6</f>
        <v>41891.1</v>
      </c>
      <c r="K789" s="130">
        <f>45779.4-3680</f>
        <v>42099.4</v>
      </c>
      <c r="L789" s="130"/>
      <c r="M789" s="130">
        <f>45779.4-3680</f>
        <v>42099.4</v>
      </c>
      <c r="N789" s="130">
        <f>47610.6-5294.4</f>
        <v>42316.2</v>
      </c>
      <c r="O789" s="130"/>
      <c r="P789" s="130">
        <f>47610.6-5294.4</f>
        <v>42316.2</v>
      </c>
    </row>
    <row r="790" spans="1:18" ht="36" customHeight="1" x14ac:dyDescent="0.3">
      <c r="A790" s="36"/>
      <c r="B790" s="36"/>
      <c r="C790" s="36" t="s">
        <v>258</v>
      </c>
      <c r="D790" s="36"/>
      <c r="E790" s="37" t="s">
        <v>259</v>
      </c>
      <c r="F790" s="131">
        <f>F791+F793</f>
        <v>17389.399999999998</v>
      </c>
      <c r="G790" s="131"/>
      <c r="H790" s="131">
        <f>H791+H793+H795</f>
        <v>17484.3</v>
      </c>
      <c r="I790" s="131">
        <f>I795+I791</f>
        <v>0</v>
      </c>
      <c r="J790" s="131">
        <f>J791+J793+J795</f>
        <v>17484.3</v>
      </c>
      <c r="K790" s="131">
        <f>K791+K793</f>
        <v>17442.900000000001</v>
      </c>
      <c r="L790" s="131"/>
      <c r="M790" s="131">
        <f>M791+M793</f>
        <v>17442.900000000001</v>
      </c>
      <c r="N790" s="131">
        <f>N791+N793</f>
        <v>17498.2</v>
      </c>
      <c r="O790" s="131"/>
      <c r="P790" s="131">
        <f>P791+P793</f>
        <v>17498.2</v>
      </c>
    </row>
    <row r="791" spans="1:18" ht="27" x14ac:dyDescent="0.3">
      <c r="A791" s="7"/>
      <c r="B791" s="7"/>
      <c r="C791" s="7" t="s">
        <v>260</v>
      </c>
      <c r="D791" s="7"/>
      <c r="E791" s="9" t="s">
        <v>558</v>
      </c>
      <c r="F791" s="130">
        <f>17101.3-211.9</f>
        <v>16889.399999999998</v>
      </c>
      <c r="G791" s="130"/>
      <c r="H791" s="130">
        <f>17101.3-211.9</f>
        <v>16889.399999999998</v>
      </c>
      <c r="I791" s="130"/>
      <c r="J791" s="130">
        <f>J792</f>
        <v>16889.399999999998</v>
      </c>
      <c r="K791" s="130">
        <f>17785.4-842.5</f>
        <v>16942.900000000001</v>
      </c>
      <c r="L791" s="130"/>
      <c r="M791" s="130">
        <f>17785.4-842.5</f>
        <v>16942.900000000001</v>
      </c>
      <c r="N791" s="130">
        <f>18496.8-1498.6</f>
        <v>16998.2</v>
      </c>
      <c r="O791" s="130"/>
      <c r="P791" s="130">
        <f>18496.8-1498.6</f>
        <v>16998.2</v>
      </c>
    </row>
    <row r="792" spans="1:18" ht="27" x14ac:dyDescent="0.3">
      <c r="A792" s="7"/>
      <c r="B792" s="7"/>
      <c r="C792" s="7"/>
      <c r="D792" s="7" t="s">
        <v>608</v>
      </c>
      <c r="E792" s="3" t="s">
        <v>609</v>
      </c>
      <c r="F792" s="130">
        <f>17101.3-211.9</f>
        <v>16889.399999999998</v>
      </c>
      <c r="G792" s="130"/>
      <c r="H792" s="130">
        <f>17101.3-211.9</f>
        <v>16889.399999999998</v>
      </c>
      <c r="I792" s="130"/>
      <c r="J792" s="130">
        <f>SUM(H792:I792)</f>
        <v>16889.399999999998</v>
      </c>
      <c r="K792" s="130">
        <f>17785.4-842.5</f>
        <v>16942.900000000001</v>
      </c>
      <c r="L792" s="130"/>
      <c r="M792" s="130">
        <f>17785.4-842.5</f>
        <v>16942.900000000001</v>
      </c>
      <c r="N792" s="130">
        <f>18496.8-1498.6</f>
        <v>16998.2</v>
      </c>
      <c r="O792" s="130"/>
      <c r="P792" s="130">
        <f>18496.8-1498.6</f>
        <v>16998.2</v>
      </c>
    </row>
    <row r="793" spans="1:18" ht="27" x14ac:dyDescent="0.3">
      <c r="A793" s="7"/>
      <c r="B793" s="7"/>
      <c r="C793" s="7" t="s">
        <v>261</v>
      </c>
      <c r="D793" s="7"/>
      <c r="E793" s="9" t="s">
        <v>262</v>
      </c>
      <c r="F793" s="130">
        <v>500</v>
      </c>
      <c r="G793" s="130"/>
      <c r="H793" s="130">
        <v>500</v>
      </c>
      <c r="I793" s="130"/>
      <c r="J793" s="130">
        <v>500</v>
      </c>
      <c r="K793" s="130">
        <v>500</v>
      </c>
      <c r="L793" s="130"/>
      <c r="M793" s="130">
        <v>500</v>
      </c>
      <c r="N793" s="130">
        <v>500</v>
      </c>
      <c r="O793" s="130"/>
      <c r="P793" s="130">
        <v>500</v>
      </c>
    </row>
    <row r="794" spans="1:18" ht="27" x14ac:dyDescent="0.3">
      <c r="A794" s="7"/>
      <c r="B794" s="7"/>
      <c r="C794" s="7"/>
      <c r="D794" s="7" t="s">
        <v>608</v>
      </c>
      <c r="E794" s="3" t="s">
        <v>609</v>
      </c>
      <c r="F794" s="130">
        <v>500</v>
      </c>
      <c r="G794" s="130"/>
      <c r="H794" s="130">
        <v>500</v>
      </c>
      <c r="I794" s="130"/>
      <c r="J794" s="130">
        <v>500</v>
      </c>
      <c r="K794" s="130">
        <v>500</v>
      </c>
      <c r="L794" s="130"/>
      <c r="M794" s="130">
        <v>500</v>
      </c>
      <c r="N794" s="130">
        <v>500</v>
      </c>
      <c r="O794" s="130"/>
      <c r="P794" s="130">
        <v>500</v>
      </c>
    </row>
    <row r="795" spans="1:18" ht="26.25" x14ac:dyDescent="0.25">
      <c r="A795" s="7"/>
      <c r="B795" s="7"/>
      <c r="C795" s="7" t="s">
        <v>819</v>
      </c>
      <c r="D795" s="7"/>
      <c r="E795" s="3" t="s">
        <v>828</v>
      </c>
      <c r="F795" s="130"/>
      <c r="G795" s="130"/>
      <c r="H795" s="130">
        <v>94.9</v>
      </c>
      <c r="I795" s="130"/>
      <c r="J795" s="130">
        <v>94.9</v>
      </c>
      <c r="K795" s="130"/>
      <c r="L795" s="130"/>
      <c r="M795" s="130">
        <v>0</v>
      </c>
      <c r="N795" s="130"/>
      <c r="O795" s="130"/>
      <c r="P795" s="130">
        <v>0</v>
      </c>
    </row>
    <row r="796" spans="1:18" ht="26.25" x14ac:dyDescent="0.25">
      <c r="A796" s="7"/>
      <c r="B796" s="7"/>
      <c r="C796" s="7"/>
      <c r="D796" s="7" t="s">
        <v>608</v>
      </c>
      <c r="E796" s="3" t="s">
        <v>609</v>
      </c>
      <c r="F796" s="130"/>
      <c r="G796" s="130"/>
      <c r="H796" s="130">
        <v>94.9</v>
      </c>
      <c r="I796" s="130"/>
      <c r="J796" s="130">
        <v>94.9</v>
      </c>
      <c r="K796" s="130"/>
      <c r="L796" s="130"/>
      <c r="M796" s="130">
        <v>0</v>
      </c>
      <c r="N796" s="130"/>
      <c r="O796" s="130"/>
      <c r="P796" s="130">
        <v>0</v>
      </c>
    </row>
    <row r="797" spans="1:18" ht="27" x14ac:dyDescent="0.3">
      <c r="A797" s="36"/>
      <c r="B797" s="36"/>
      <c r="C797" s="36" t="s">
        <v>263</v>
      </c>
      <c r="D797" s="36"/>
      <c r="E797" s="37" t="s">
        <v>264</v>
      </c>
      <c r="F797" s="131">
        <f>F798</f>
        <v>1324.7</v>
      </c>
      <c r="G797" s="131"/>
      <c r="H797" s="131">
        <f>H798</f>
        <v>1324.7</v>
      </c>
      <c r="I797" s="131"/>
      <c r="J797" s="131">
        <f>J798</f>
        <v>1324.7</v>
      </c>
      <c r="K797" s="131">
        <f>K798</f>
        <v>1326.7</v>
      </c>
      <c r="L797" s="131"/>
      <c r="M797" s="131">
        <f>M798</f>
        <v>1326.7</v>
      </c>
      <c r="N797" s="131">
        <f>N798</f>
        <v>1328.8</v>
      </c>
      <c r="O797" s="131"/>
      <c r="P797" s="131">
        <f>P798</f>
        <v>1328.8</v>
      </c>
    </row>
    <row r="798" spans="1:18" ht="14.45" x14ac:dyDescent="0.3">
      <c r="A798" s="7"/>
      <c r="B798" s="7"/>
      <c r="C798" s="7" t="s">
        <v>265</v>
      </c>
      <c r="D798" s="7"/>
      <c r="E798" s="9" t="s">
        <v>559</v>
      </c>
      <c r="F798" s="130">
        <f>1337-12.3</f>
        <v>1324.7</v>
      </c>
      <c r="G798" s="130"/>
      <c r="H798" s="130">
        <f>1337-12.3</f>
        <v>1324.7</v>
      </c>
      <c r="I798" s="130"/>
      <c r="J798" s="130">
        <f>1337-12.3</f>
        <v>1324.7</v>
      </c>
      <c r="K798" s="130">
        <f>1390.5-63.8</f>
        <v>1326.7</v>
      </c>
      <c r="L798" s="130"/>
      <c r="M798" s="130">
        <f>1390.5-63.8</f>
        <v>1326.7</v>
      </c>
      <c r="N798" s="130">
        <f>1446.1-117.3</f>
        <v>1328.8</v>
      </c>
      <c r="O798" s="130"/>
      <c r="P798" s="130">
        <f>1446.1-117.3</f>
        <v>1328.8</v>
      </c>
    </row>
    <row r="799" spans="1:18" ht="27" x14ac:dyDescent="0.3">
      <c r="A799" s="7"/>
      <c r="B799" s="7"/>
      <c r="C799" s="7"/>
      <c r="D799" s="7" t="s">
        <v>608</v>
      </c>
      <c r="E799" s="3" t="s">
        <v>609</v>
      </c>
      <c r="F799" s="130">
        <f>1337-12.3</f>
        <v>1324.7</v>
      </c>
      <c r="G799" s="130"/>
      <c r="H799" s="130">
        <f>1337-12.3</f>
        <v>1324.7</v>
      </c>
      <c r="I799" s="130"/>
      <c r="J799" s="130">
        <f>1337-12.3</f>
        <v>1324.7</v>
      </c>
      <c r="K799" s="130">
        <f>1390.5-63.8</f>
        <v>1326.7</v>
      </c>
      <c r="L799" s="130"/>
      <c r="M799" s="130">
        <f>1390.5-63.8</f>
        <v>1326.7</v>
      </c>
      <c r="N799" s="130">
        <f>1446.1-117.3</f>
        <v>1328.8</v>
      </c>
      <c r="O799" s="130"/>
      <c r="P799" s="130">
        <f>1446.1-117.3</f>
        <v>1328.8</v>
      </c>
      <c r="R799" s="45"/>
    </row>
    <row r="800" spans="1:18" s="58" customFormat="1" ht="53.45" x14ac:dyDescent="0.3">
      <c r="A800" s="36"/>
      <c r="B800" s="36"/>
      <c r="C800" s="36" t="s">
        <v>278</v>
      </c>
      <c r="D800" s="36"/>
      <c r="E800" s="55" t="s">
        <v>279</v>
      </c>
      <c r="F800" s="131">
        <f>F801+F805+F819</f>
        <v>4296.9130000000005</v>
      </c>
      <c r="G800" s="131">
        <f>G801+G805+G819+G821</f>
        <v>0</v>
      </c>
      <c r="H800" s="131">
        <f>H801+H805+H819+H821</f>
        <v>5688.1129999999994</v>
      </c>
      <c r="I800" s="131">
        <f>I801+I805+I819+I821</f>
        <v>100</v>
      </c>
      <c r="J800" s="131">
        <f>J801+J805+J819+J821</f>
        <v>5788.1129999999994</v>
      </c>
      <c r="K800" s="131">
        <f>K801+K805+K819</f>
        <v>503.3</v>
      </c>
      <c r="L800" s="131">
        <f>L801+L805+L819+L808</f>
        <v>0</v>
      </c>
      <c r="M800" s="131">
        <f>M801+M805+M819</f>
        <v>503.3</v>
      </c>
      <c r="N800" s="131">
        <f>N801+N805+N819</f>
        <v>0</v>
      </c>
      <c r="O800" s="131"/>
      <c r="P800" s="131">
        <f>P801+P805+P819</f>
        <v>0</v>
      </c>
    </row>
    <row r="801" spans="1:16" ht="53.45" x14ac:dyDescent="0.3">
      <c r="A801" s="7"/>
      <c r="B801" s="7"/>
      <c r="C801" s="7" t="s">
        <v>280</v>
      </c>
      <c r="D801" s="13"/>
      <c r="E801" s="3" t="s">
        <v>281</v>
      </c>
      <c r="F801" s="130">
        <f>F803+F804</f>
        <v>1428.7130000000002</v>
      </c>
      <c r="G801" s="130"/>
      <c r="H801" s="130">
        <f>H803+H804</f>
        <v>1428.7130000000002</v>
      </c>
      <c r="I801" s="130"/>
      <c r="J801" s="130">
        <f>J803+J804</f>
        <v>1428.7130000000002</v>
      </c>
      <c r="K801" s="130">
        <v>0</v>
      </c>
      <c r="L801" s="130"/>
      <c r="M801" s="130">
        <v>0</v>
      </c>
      <c r="N801" s="130">
        <v>0</v>
      </c>
      <c r="O801" s="130"/>
      <c r="P801" s="130">
        <v>0</v>
      </c>
    </row>
    <row r="802" spans="1:16" ht="27" x14ac:dyDescent="0.3">
      <c r="A802" s="7"/>
      <c r="B802" s="7"/>
      <c r="C802" s="7"/>
      <c r="D802" s="7" t="s">
        <v>608</v>
      </c>
      <c r="E802" s="3" t="s">
        <v>609</v>
      </c>
      <c r="F802" s="130">
        <f>F803+F804</f>
        <v>1428.7130000000002</v>
      </c>
      <c r="G802" s="130"/>
      <c r="H802" s="130">
        <f>H803+H804</f>
        <v>1428.7130000000002</v>
      </c>
      <c r="I802" s="130"/>
      <c r="J802" s="130">
        <f>J803+J804</f>
        <v>1428.7130000000002</v>
      </c>
      <c r="K802" s="130">
        <v>0</v>
      </c>
      <c r="L802" s="130"/>
      <c r="M802" s="130">
        <v>0</v>
      </c>
      <c r="N802" s="130">
        <v>0</v>
      </c>
      <c r="O802" s="130"/>
      <c r="P802" s="130">
        <v>0</v>
      </c>
    </row>
    <row r="803" spans="1:16" ht="14.45" x14ac:dyDescent="0.3">
      <c r="A803" s="7"/>
      <c r="B803" s="7"/>
      <c r="C803" s="7"/>
      <c r="D803" s="7"/>
      <c r="E803" s="1" t="s">
        <v>219</v>
      </c>
      <c r="F803" s="130">
        <v>1071.5350000000001</v>
      </c>
      <c r="G803" s="130"/>
      <c r="H803" s="130">
        <v>1071.5350000000001</v>
      </c>
      <c r="I803" s="130"/>
      <c r="J803" s="130">
        <v>1071.5350000000001</v>
      </c>
      <c r="K803" s="130">
        <v>0</v>
      </c>
      <c r="L803" s="130"/>
      <c r="M803" s="130">
        <v>0</v>
      </c>
      <c r="N803" s="130">
        <v>0</v>
      </c>
      <c r="O803" s="130"/>
      <c r="P803" s="130">
        <v>0</v>
      </c>
    </row>
    <row r="804" spans="1:16" ht="14.45" x14ac:dyDescent="0.3">
      <c r="A804" s="7"/>
      <c r="B804" s="7"/>
      <c r="C804" s="7"/>
      <c r="D804" s="7"/>
      <c r="E804" s="3" t="s">
        <v>171</v>
      </c>
      <c r="F804" s="130">
        <v>357.178</v>
      </c>
      <c r="G804" s="130"/>
      <c r="H804" s="130">
        <v>357.178</v>
      </c>
      <c r="I804" s="130"/>
      <c r="J804" s="130">
        <v>357.178</v>
      </c>
      <c r="K804" s="130">
        <v>0</v>
      </c>
      <c r="L804" s="130"/>
      <c r="M804" s="130">
        <v>0</v>
      </c>
      <c r="N804" s="130">
        <v>0</v>
      </c>
      <c r="O804" s="130"/>
      <c r="P804" s="130">
        <v>0</v>
      </c>
    </row>
    <row r="805" spans="1:16" ht="39.6" x14ac:dyDescent="0.3">
      <c r="A805" s="17"/>
      <c r="B805" s="17"/>
      <c r="C805" s="17" t="s">
        <v>284</v>
      </c>
      <c r="D805" s="56"/>
      <c r="E805" s="57" t="s">
        <v>693</v>
      </c>
      <c r="F805" s="135">
        <f>F809</f>
        <v>440</v>
      </c>
      <c r="G805" s="135"/>
      <c r="H805" s="135">
        <f>H809</f>
        <v>0</v>
      </c>
      <c r="I805" s="135"/>
      <c r="J805" s="135">
        <f>J809</f>
        <v>0</v>
      </c>
      <c r="K805" s="135">
        <f>K809</f>
        <v>503.3</v>
      </c>
      <c r="L805" s="135"/>
      <c r="M805" s="135">
        <f>M809</f>
        <v>503.3</v>
      </c>
      <c r="N805" s="135">
        <f>N809</f>
        <v>0</v>
      </c>
      <c r="O805" s="135"/>
      <c r="P805" s="135">
        <f>P809</f>
        <v>0</v>
      </c>
    </row>
    <row r="806" spans="1:16" s="59" customFormat="1" ht="14.45" x14ac:dyDescent="0.3">
      <c r="A806" s="56"/>
      <c r="B806" s="56"/>
      <c r="C806" s="56"/>
      <c r="D806" s="56"/>
      <c r="E806" s="1" t="s">
        <v>219</v>
      </c>
      <c r="F806" s="135"/>
      <c r="G806" s="135"/>
      <c r="H806" s="135"/>
      <c r="I806" s="135"/>
      <c r="J806" s="135"/>
      <c r="K806" s="135"/>
      <c r="L806" s="135"/>
      <c r="M806" s="135"/>
      <c r="N806" s="135"/>
      <c r="O806" s="135"/>
      <c r="P806" s="135"/>
    </row>
    <row r="807" spans="1:16" ht="14.45" x14ac:dyDescent="0.3">
      <c r="A807" s="56"/>
      <c r="B807" s="56"/>
      <c r="C807" s="56"/>
      <c r="D807" s="56"/>
      <c r="E807" s="3" t="s">
        <v>171</v>
      </c>
      <c r="F807" s="135">
        <v>0</v>
      </c>
      <c r="G807" s="135"/>
      <c r="H807" s="135">
        <v>0</v>
      </c>
      <c r="I807" s="135"/>
      <c r="J807" s="135">
        <v>0</v>
      </c>
      <c r="K807" s="135">
        <v>0</v>
      </c>
      <c r="L807" s="135"/>
      <c r="M807" s="135">
        <v>0</v>
      </c>
      <c r="N807" s="135">
        <v>0</v>
      </c>
      <c r="O807" s="135"/>
      <c r="P807" s="135">
        <v>0</v>
      </c>
    </row>
    <row r="808" spans="1:16" ht="40.15" x14ac:dyDescent="0.3">
      <c r="A808" s="7"/>
      <c r="B808" s="7"/>
      <c r="C808" s="7" t="s">
        <v>284</v>
      </c>
      <c r="D808" s="56"/>
      <c r="E808" s="3" t="s">
        <v>285</v>
      </c>
      <c r="F808" s="135">
        <v>440</v>
      </c>
      <c r="G808" s="135"/>
      <c r="H808" s="135">
        <f>H809</f>
        <v>0</v>
      </c>
      <c r="I808" s="135"/>
      <c r="J808" s="135">
        <v>0</v>
      </c>
      <c r="K808" s="135">
        <f>K809</f>
        <v>503.3</v>
      </c>
      <c r="L808" s="135">
        <f>L809</f>
        <v>0</v>
      </c>
      <c r="M808" s="135">
        <f>M809</f>
        <v>503.3</v>
      </c>
      <c r="N808" s="135">
        <v>0</v>
      </c>
      <c r="O808" s="135"/>
      <c r="P808" s="135">
        <v>0</v>
      </c>
    </row>
    <row r="809" spans="1:16" ht="27" x14ac:dyDescent="0.3">
      <c r="A809" s="7"/>
      <c r="B809" s="7"/>
      <c r="C809" s="7"/>
      <c r="D809" s="7" t="s">
        <v>608</v>
      </c>
      <c r="E809" s="3" t="s">
        <v>609</v>
      </c>
      <c r="F809" s="135">
        <v>440</v>
      </c>
      <c r="G809" s="135"/>
      <c r="H809" s="135">
        <v>0</v>
      </c>
      <c r="I809" s="135"/>
      <c r="J809" s="135">
        <v>0</v>
      </c>
      <c r="K809" s="135">
        <f>K815</f>
        <v>503.3</v>
      </c>
      <c r="L809" s="154">
        <f>L815</f>
        <v>0</v>
      </c>
      <c r="M809" s="135">
        <f>M815</f>
        <v>503.3</v>
      </c>
      <c r="N809" s="135">
        <v>0</v>
      </c>
      <c r="O809" s="135"/>
      <c r="P809" s="135">
        <v>0</v>
      </c>
    </row>
    <row r="810" spans="1:16" ht="14.45" x14ac:dyDescent="0.3">
      <c r="A810" s="81"/>
      <c r="B810" s="81"/>
      <c r="C810" s="7"/>
      <c r="D810" s="56"/>
      <c r="E810" s="3" t="s">
        <v>286</v>
      </c>
      <c r="F810" s="135"/>
      <c r="G810" s="135"/>
      <c r="H810" s="135"/>
      <c r="I810" s="135"/>
      <c r="J810" s="135"/>
      <c r="K810" s="135"/>
      <c r="L810" s="135"/>
      <c r="M810" s="135"/>
      <c r="N810" s="135"/>
      <c r="O810" s="135"/>
      <c r="P810" s="135"/>
    </row>
    <row r="811" spans="1:16" ht="40.15" x14ac:dyDescent="0.3">
      <c r="A811" s="81"/>
      <c r="B811" s="81"/>
      <c r="C811" s="11"/>
      <c r="D811" s="11"/>
      <c r="E811" s="12" t="s">
        <v>287</v>
      </c>
      <c r="F811" s="149">
        <f>F812+F813+F814</f>
        <v>440</v>
      </c>
      <c r="G811" s="149"/>
      <c r="H811" s="149">
        <f>H812+H813+H814</f>
        <v>0</v>
      </c>
      <c r="I811" s="149"/>
      <c r="J811" s="149">
        <f>J812+J813+J814</f>
        <v>0</v>
      </c>
      <c r="K811" s="149">
        <f>K812+K813+K814</f>
        <v>0</v>
      </c>
      <c r="L811" s="149"/>
      <c r="M811" s="149">
        <f>M812+M813+M814</f>
        <v>0</v>
      </c>
      <c r="N811" s="149">
        <f>N812+N813+N814</f>
        <v>0</v>
      </c>
      <c r="O811" s="149"/>
      <c r="P811" s="149">
        <f>P812+P813+P814</f>
        <v>0</v>
      </c>
    </row>
    <row r="812" spans="1:16" ht="14.45" x14ac:dyDescent="0.3">
      <c r="A812" s="81"/>
      <c r="B812" s="81"/>
      <c r="C812" s="7"/>
      <c r="D812" s="7"/>
      <c r="E812" s="1" t="s">
        <v>222</v>
      </c>
      <c r="F812" s="135">
        <v>0</v>
      </c>
      <c r="G812" s="135"/>
      <c r="H812" s="135">
        <v>0</v>
      </c>
      <c r="I812" s="135"/>
      <c r="J812" s="135">
        <v>0</v>
      </c>
      <c r="K812" s="135">
        <v>0</v>
      </c>
      <c r="L812" s="135"/>
      <c r="M812" s="135">
        <v>0</v>
      </c>
      <c r="N812" s="135">
        <v>0</v>
      </c>
      <c r="O812" s="135"/>
      <c r="P812" s="135">
        <v>0</v>
      </c>
    </row>
    <row r="813" spans="1:16" ht="14.45" x14ac:dyDescent="0.3">
      <c r="A813" s="111"/>
      <c r="B813" s="111"/>
      <c r="C813" s="7"/>
      <c r="D813" s="7"/>
      <c r="E813" s="1" t="s">
        <v>219</v>
      </c>
      <c r="F813" s="135">
        <v>0</v>
      </c>
      <c r="G813" s="135"/>
      <c r="H813" s="135">
        <v>0</v>
      </c>
      <c r="I813" s="135"/>
      <c r="J813" s="135">
        <v>0</v>
      </c>
      <c r="K813" s="135">
        <v>0</v>
      </c>
      <c r="L813" s="135"/>
      <c r="M813" s="135">
        <v>0</v>
      </c>
      <c r="N813" s="135">
        <v>0</v>
      </c>
      <c r="O813" s="135"/>
      <c r="P813" s="135">
        <v>0</v>
      </c>
    </row>
    <row r="814" spans="1:16" ht="14.45" x14ac:dyDescent="0.3">
      <c r="A814" s="81"/>
      <c r="B814" s="81"/>
      <c r="C814" s="7"/>
      <c r="D814" s="7"/>
      <c r="E814" s="3" t="s">
        <v>171</v>
      </c>
      <c r="F814" s="135">
        <v>440</v>
      </c>
      <c r="G814" s="135"/>
      <c r="H814" s="135">
        <v>0</v>
      </c>
      <c r="I814" s="135"/>
      <c r="J814" s="135">
        <f>SUM(H814:I814)</f>
        <v>0</v>
      </c>
      <c r="K814" s="135">
        <v>0</v>
      </c>
      <c r="L814" s="135"/>
      <c r="M814" s="135">
        <v>0</v>
      </c>
      <c r="N814" s="135">
        <v>0</v>
      </c>
      <c r="O814" s="135"/>
      <c r="P814" s="135">
        <v>0</v>
      </c>
    </row>
    <row r="815" spans="1:16" ht="40.15" x14ac:dyDescent="0.3">
      <c r="A815" s="81"/>
      <c r="B815" s="81"/>
      <c r="C815" s="11"/>
      <c r="D815" s="11"/>
      <c r="E815" s="12" t="s">
        <v>288</v>
      </c>
      <c r="F815" s="141">
        <v>0</v>
      </c>
      <c r="G815" s="141"/>
      <c r="H815" s="141">
        <v>0</v>
      </c>
      <c r="I815" s="141"/>
      <c r="J815" s="141">
        <v>0</v>
      </c>
      <c r="K815" s="141">
        <v>503.3</v>
      </c>
      <c r="L815" s="141">
        <f>L818</f>
        <v>0</v>
      </c>
      <c r="M815" s="141">
        <f>M816+M817+M818</f>
        <v>503.3</v>
      </c>
      <c r="N815" s="141">
        <v>0</v>
      </c>
      <c r="O815" s="141"/>
      <c r="P815" s="141">
        <v>0</v>
      </c>
    </row>
    <row r="816" spans="1:16" ht="14.45" x14ac:dyDescent="0.3">
      <c r="A816" s="81"/>
      <c r="B816" s="81"/>
      <c r="C816" s="13"/>
      <c r="D816" s="7"/>
      <c r="E816" s="1" t="s">
        <v>222</v>
      </c>
      <c r="F816" s="135">
        <v>0</v>
      </c>
      <c r="G816" s="135"/>
      <c r="H816" s="135">
        <v>0</v>
      </c>
      <c r="I816" s="135"/>
      <c r="J816" s="135">
        <v>0</v>
      </c>
      <c r="K816" s="135">
        <v>0</v>
      </c>
      <c r="L816" s="135"/>
      <c r="M816" s="135">
        <v>0</v>
      </c>
      <c r="N816" s="135">
        <v>0</v>
      </c>
      <c r="O816" s="135"/>
      <c r="P816" s="135">
        <v>0</v>
      </c>
    </row>
    <row r="817" spans="1:16" ht="14.45" x14ac:dyDescent="0.3">
      <c r="A817" s="81"/>
      <c r="B817" s="81"/>
      <c r="C817" s="13"/>
      <c r="D817" s="7"/>
      <c r="E817" s="1" t="s">
        <v>219</v>
      </c>
      <c r="F817" s="135">
        <v>0</v>
      </c>
      <c r="G817" s="135"/>
      <c r="H817" s="135">
        <v>0</v>
      </c>
      <c r="I817" s="135"/>
      <c r="J817" s="135">
        <v>0</v>
      </c>
      <c r="K817" s="135">
        <v>0</v>
      </c>
      <c r="L817" s="135"/>
      <c r="M817" s="135">
        <v>0</v>
      </c>
      <c r="N817" s="135">
        <v>0</v>
      </c>
      <c r="O817" s="135"/>
      <c r="P817" s="135">
        <v>0</v>
      </c>
    </row>
    <row r="818" spans="1:16" ht="14.45" x14ac:dyDescent="0.3">
      <c r="A818" s="81"/>
      <c r="B818" s="81"/>
      <c r="C818" s="13"/>
      <c r="D818" s="7"/>
      <c r="E818" s="3" t="s">
        <v>171</v>
      </c>
      <c r="F818" s="135">
        <v>0</v>
      </c>
      <c r="G818" s="135"/>
      <c r="H818" s="135">
        <v>0</v>
      </c>
      <c r="I818" s="135"/>
      <c r="J818" s="135">
        <v>0</v>
      </c>
      <c r="K818" s="135">
        <v>503.3</v>
      </c>
      <c r="L818" s="135"/>
      <c r="M818" s="135">
        <f>200+303.3</f>
        <v>503.3</v>
      </c>
      <c r="N818" s="135">
        <v>0</v>
      </c>
      <c r="O818" s="135"/>
      <c r="P818" s="135">
        <v>0</v>
      </c>
    </row>
    <row r="819" spans="1:16" ht="27" x14ac:dyDescent="0.3">
      <c r="A819" s="81"/>
      <c r="B819" s="81"/>
      <c r="C819" s="7" t="s">
        <v>289</v>
      </c>
      <c r="D819" s="13"/>
      <c r="E819" s="14" t="s">
        <v>290</v>
      </c>
      <c r="F819" s="135">
        <v>2428.1999999999998</v>
      </c>
      <c r="G819" s="135">
        <f>G820</f>
        <v>0</v>
      </c>
      <c r="H819" s="135">
        <f>H820</f>
        <v>2895.3999999999996</v>
      </c>
      <c r="I819" s="135">
        <f>I820</f>
        <v>100</v>
      </c>
      <c r="J819" s="135">
        <f>SUM(H819:I819)</f>
        <v>2995.3999999999996</v>
      </c>
      <c r="K819" s="135">
        <v>0</v>
      </c>
      <c r="L819" s="135"/>
      <c r="M819" s="135">
        <v>0</v>
      </c>
      <c r="N819" s="135">
        <v>0</v>
      </c>
      <c r="O819" s="135"/>
      <c r="P819" s="135">
        <v>0</v>
      </c>
    </row>
    <row r="820" spans="1:16" ht="27" x14ac:dyDescent="0.3">
      <c r="A820" s="81"/>
      <c r="B820" s="81"/>
      <c r="C820" s="7"/>
      <c r="D820" s="7" t="s">
        <v>608</v>
      </c>
      <c r="E820" s="3" t="s">
        <v>609</v>
      </c>
      <c r="F820" s="135">
        <v>2428.1999999999998</v>
      </c>
      <c r="G820" s="135"/>
      <c r="H820" s="135">
        <v>2895.3999999999996</v>
      </c>
      <c r="I820" s="135">
        <v>100</v>
      </c>
      <c r="J820" s="135">
        <f>SUM(H820:I820)</f>
        <v>2995.3999999999996</v>
      </c>
      <c r="K820" s="135">
        <v>0</v>
      </c>
      <c r="L820" s="135"/>
      <c r="M820" s="135">
        <v>0</v>
      </c>
      <c r="N820" s="135">
        <v>0</v>
      </c>
      <c r="O820" s="135"/>
      <c r="P820" s="135">
        <v>0</v>
      </c>
    </row>
    <row r="821" spans="1:16" ht="26.25" x14ac:dyDescent="0.25">
      <c r="A821" s="81"/>
      <c r="B821" s="81"/>
      <c r="C821" s="7" t="s">
        <v>770</v>
      </c>
      <c r="D821" s="7"/>
      <c r="E821" s="3" t="s">
        <v>814</v>
      </c>
      <c r="F821" s="135"/>
      <c r="G821" s="135">
        <f>G822</f>
        <v>0</v>
      </c>
      <c r="H821" s="135">
        <f>H822</f>
        <v>1364</v>
      </c>
      <c r="I821" s="135">
        <f>I822</f>
        <v>0</v>
      </c>
      <c r="J821" s="135">
        <f>SUM(H821:I821)</f>
        <v>1364</v>
      </c>
      <c r="K821" s="135"/>
      <c r="L821" s="135"/>
      <c r="M821" s="135">
        <v>0</v>
      </c>
      <c r="N821" s="135"/>
      <c r="O821" s="135"/>
      <c r="P821" s="135">
        <v>0</v>
      </c>
    </row>
    <row r="822" spans="1:16" ht="26.25" x14ac:dyDescent="0.25">
      <c r="A822" s="81"/>
      <c r="B822" s="81"/>
      <c r="C822" s="7"/>
      <c r="D822" s="7" t="s">
        <v>608</v>
      </c>
      <c r="E822" s="3" t="s">
        <v>609</v>
      </c>
      <c r="F822" s="135"/>
      <c r="G822" s="135"/>
      <c r="H822" s="135">
        <v>1364</v>
      </c>
      <c r="I822" s="135"/>
      <c r="J822" s="135">
        <f>SUM(H822:I822)</f>
        <v>1364</v>
      </c>
      <c r="K822" s="135"/>
      <c r="L822" s="135"/>
      <c r="M822" s="135">
        <v>0</v>
      </c>
      <c r="N822" s="135"/>
      <c r="O822" s="135"/>
      <c r="P822" s="135">
        <v>0</v>
      </c>
    </row>
    <row r="823" spans="1:16" ht="25.5" x14ac:dyDescent="0.25">
      <c r="A823" s="134"/>
      <c r="B823" s="134"/>
      <c r="C823" s="15" t="s">
        <v>291</v>
      </c>
      <c r="D823" s="15"/>
      <c r="E823" s="16" t="s">
        <v>292</v>
      </c>
      <c r="F823" s="136"/>
      <c r="G823" s="136">
        <f>G824+G827</f>
        <v>0.15789</v>
      </c>
      <c r="H823" s="136">
        <f>H824+H827</f>
        <v>0.15789</v>
      </c>
      <c r="I823" s="136"/>
      <c r="J823" s="136">
        <f>J824+J827</f>
        <v>0.15789</v>
      </c>
      <c r="K823" s="136"/>
      <c r="L823" s="136"/>
      <c r="M823" s="136">
        <v>0</v>
      </c>
      <c r="N823" s="136"/>
      <c r="O823" s="136"/>
      <c r="P823" s="136">
        <v>0</v>
      </c>
    </row>
    <row r="824" spans="1:16" ht="25.5" x14ac:dyDescent="0.25">
      <c r="A824" s="81"/>
      <c r="B824" s="81"/>
      <c r="C824" s="17" t="s">
        <v>780</v>
      </c>
      <c r="D824" s="17"/>
      <c r="E824" s="8" t="s">
        <v>779</v>
      </c>
      <c r="F824" s="135"/>
      <c r="G824" s="135">
        <f>G825</f>
        <v>5.2630000000000003E-2</v>
      </c>
      <c r="H824" s="135">
        <f>H825</f>
        <v>5.2630000000000003E-2</v>
      </c>
      <c r="I824" s="135"/>
      <c r="J824" s="135">
        <f>J825</f>
        <v>5.2630000000000003E-2</v>
      </c>
      <c r="K824" s="135"/>
      <c r="L824" s="135"/>
      <c r="M824" s="135">
        <v>0</v>
      </c>
      <c r="N824" s="135"/>
      <c r="O824" s="135"/>
      <c r="P824" s="135">
        <v>0</v>
      </c>
    </row>
    <row r="825" spans="1:16" ht="18" customHeight="1" x14ac:dyDescent="0.25">
      <c r="A825" s="81"/>
      <c r="B825" s="81"/>
      <c r="C825" s="18"/>
      <c r="D825" s="17" t="s">
        <v>608</v>
      </c>
      <c r="E825" s="1" t="s">
        <v>609</v>
      </c>
      <c r="F825" s="135"/>
      <c r="G825" s="135">
        <f>G826</f>
        <v>5.2630000000000003E-2</v>
      </c>
      <c r="H825" s="135">
        <f>H826</f>
        <v>5.2630000000000003E-2</v>
      </c>
      <c r="I825" s="135"/>
      <c r="J825" s="135">
        <f>J826</f>
        <v>5.2630000000000003E-2</v>
      </c>
      <c r="K825" s="135"/>
      <c r="L825" s="135"/>
      <c r="M825" s="135">
        <v>0</v>
      </c>
      <c r="N825" s="135"/>
      <c r="O825" s="135"/>
      <c r="P825" s="135">
        <v>0</v>
      </c>
    </row>
    <row r="826" spans="1:16" x14ac:dyDescent="0.25">
      <c r="A826" s="81"/>
      <c r="B826" s="81"/>
      <c r="C826" s="18"/>
      <c r="D826" s="17"/>
      <c r="E826" s="3" t="s">
        <v>171</v>
      </c>
      <c r="F826" s="135"/>
      <c r="G826" s="135">
        <v>5.2630000000000003E-2</v>
      </c>
      <c r="H826" s="135">
        <v>5.2630000000000003E-2</v>
      </c>
      <c r="I826" s="135"/>
      <c r="J826" s="135">
        <v>5.2630000000000003E-2</v>
      </c>
      <c r="K826" s="135"/>
      <c r="L826" s="135"/>
      <c r="M826" s="135">
        <v>0</v>
      </c>
      <c r="N826" s="135"/>
      <c r="O826" s="135"/>
      <c r="P826" s="135">
        <v>0</v>
      </c>
    </row>
    <row r="827" spans="1:16" x14ac:dyDescent="0.25">
      <c r="A827" s="81"/>
      <c r="B827" s="81"/>
      <c r="C827" s="17" t="s">
        <v>781</v>
      </c>
      <c r="D827" s="17"/>
      <c r="E827" s="8" t="s">
        <v>782</v>
      </c>
      <c r="F827" s="135"/>
      <c r="G827" s="135">
        <f>G828</f>
        <v>0.10526000000000001</v>
      </c>
      <c r="H827" s="135">
        <f>H828</f>
        <v>0.10526000000000001</v>
      </c>
      <c r="I827" s="135"/>
      <c r="J827" s="135">
        <f>J828</f>
        <v>0.10526000000000001</v>
      </c>
      <c r="K827" s="135"/>
      <c r="L827" s="135"/>
      <c r="M827" s="135">
        <v>0</v>
      </c>
      <c r="N827" s="135"/>
      <c r="O827" s="135"/>
      <c r="P827" s="135">
        <v>0</v>
      </c>
    </row>
    <row r="828" spans="1:16" ht="18" customHeight="1" x14ac:dyDescent="0.25">
      <c r="A828" s="81"/>
      <c r="B828" s="81"/>
      <c r="C828" s="18"/>
      <c r="D828" s="17" t="s">
        <v>608</v>
      </c>
      <c r="E828" s="1" t="s">
        <v>609</v>
      </c>
      <c r="F828" s="135"/>
      <c r="G828" s="135">
        <f>G829</f>
        <v>0.10526000000000001</v>
      </c>
      <c r="H828" s="135">
        <f>H829</f>
        <v>0.10526000000000001</v>
      </c>
      <c r="I828" s="135"/>
      <c r="J828" s="135">
        <f>J829</f>
        <v>0.10526000000000001</v>
      </c>
      <c r="K828" s="135"/>
      <c r="L828" s="135"/>
      <c r="M828" s="135">
        <v>0</v>
      </c>
      <c r="N828" s="135"/>
      <c r="O828" s="135"/>
      <c r="P828" s="135">
        <v>0</v>
      </c>
    </row>
    <row r="829" spans="1:16" x14ac:dyDescent="0.25">
      <c r="A829" s="81"/>
      <c r="B829" s="81"/>
      <c r="C829" s="18"/>
      <c r="D829" s="17"/>
      <c r="E829" s="3" t="s">
        <v>171</v>
      </c>
      <c r="F829" s="135"/>
      <c r="G829" s="135">
        <v>0.10526000000000001</v>
      </c>
      <c r="H829" s="135">
        <v>0.10526000000000001</v>
      </c>
      <c r="I829" s="135"/>
      <c r="J829" s="135">
        <v>0.10526000000000001</v>
      </c>
      <c r="K829" s="135"/>
      <c r="L829" s="135"/>
      <c r="M829" s="135">
        <v>0</v>
      </c>
      <c r="N829" s="135"/>
      <c r="O829" s="135"/>
      <c r="P829" s="135">
        <v>0</v>
      </c>
    </row>
    <row r="830" spans="1:16" ht="14.45" x14ac:dyDescent="0.3">
      <c r="A830" s="80"/>
      <c r="B830" s="18" t="s">
        <v>698</v>
      </c>
      <c r="C830" s="86"/>
      <c r="D830" s="85"/>
      <c r="E830" s="87" t="s">
        <v>699</v>
      </c>
      <c r="F830" s="161">
        <f>F831</f>
        <v>5229.3999999999996</v>
      </c>
      <c r="G830" s="161">
        <f>G831</f>
        <v>-93.1</v>
      </c>
      <c r="H830" s="161">
        <f>H831</f>
        <v>5273.7000000000007</v>
      </c>
      <c r="I830" s="161">
        <f>I831</f>
        <v>32</v>
      </c>
      <c r="J830" s="161">
        <f>J831</f>
        <v>5305.7000000000007</v>
      </c>
      <c r="K830" s="161">
        <f t="shared" ref="K830:P834" si="161">K831</f>
        <v>5330.1</v>
      </c>
      <c r="L830" s="161">
        <f t="shared" si="161"/>
        <v>0</v>
      </c>
      <c r="M830" s="161">
        <f t="shared" si="161"/>
        <v>5330.1</v>
      </c>
      <c r="N830" s="161">
        <f t="shared" si="161"/>
        <v>5396.2</v>
      </c>
      <c r="O830" s="161">
        <f t="shared" si="161"/>
        <v>0</v>
      </c>
      <c r="P830" s="161">
        <f t="shared" si="161"/>
        <v>5396.2</v>
      </c>
    </row>
    <row r="831" spans="1:16" ht="26.45" x14ac:dyDescent="0.3">
      <c r="A831" s="80"/>
      <c r="B831" s="18"/>
      <c r="C831" s="86" t="s">
        <v>6</v>
      </c>
      <c r="D831" s="85"/>
      <c r="E831" s="90" t="s">
        <v>7</v>
      </c>
      <c r="F831" s="161">
        <f t="shared" ref="F831:O831" si="162">F832+F838</f>
        <v>5229.3999999999996</v>
      </c>
      <c r="G831" s="161">
        <f t="shared" si="162"/>
        <v>-93.1</v>
      </c>
      <c r="H831" s="161">
        <f t="shared" si="162"/>
        <v>5273.7000000000007</v>
      </c>
      <c r="I831" s="161">
        <f t="shared" si="162"/>
        <v>32</v>
      </c>
      <c r="J831" s="161">
        <f t="shared" si="162"/>
        <v>5305.7000000000007</v>
      </c>
      <c r="K831" s="161">
        <f t="shared" si="162"/>
        <v>5330.1</v>
      </c>
      <c r="L831" s="161">
        <f t="shared" si="162"/>
        <v>0</v>
      </c>
      <c r="M831" s="161">
        <f t="shared" si="162"/>
        <v>5330.1</v>
      </c>
      <c r="N831" s="161">
        <f t="shared" si="162"/>
        <v>5396.2</v>
      </c>
      <c r="O831" s="161">
        <f t="shared" si="162"/>
        <v>0</v>
      </c>
      <c r="P831" s="161">
        <f>P832+P838</f>
        <v>5396.2</v>
      </c>
    </row>
    <row r="832" spans="1:16" ht="39.6" x14ac:dyDescent="0.3">
      <c r="A832" s="108"/>
      <c r="B832" s="94"/>
      <c r="C832" s="95" t="s">
        <v>8</v>
      </c>
      <c r="D832" s="94"/>
      <c r="E832" s="96" t="s">
        <v>9</v>
      </c>
      <c r="F832" s="138">
        <f t="shared" ref="F832:J834" si="163">F833</f>
        <v>3684.4</v>
      </c>
      <c r="G832" s="138">
        <f t="shared" si="163"/>
        <v>-93.1</v>
      </c>
      <c r="H832" s="138">
        <f t="shared" si="163"/>
        <v>3693.7000000000003</v>
      </c>
      <c r="I832" s="138">
        <f t="shared" si="163"/>
        <v>0</v>
      </c>
      <c r="J832" s="138">
        <f t="shared" si="163"/>
        <v>3693.7000000000003</v>
      </c>
      <c r="K832" s="138">
        <f t="shared" si="161"/>
        <v>3785.1</v>
      </c>
      <c r="L832" s="138">
        <f t="shared" si="161"/>
        <v>0</v>
      </c>
      <c r="M832" s="138">
        <f t="shared" si="161"/>
        <v>3785.1</v>
      </c>
      <c r="N832" s="138">
        <f t="shared" si="161"/>
        <v>3851.2</v>
      </c>
      <c r="O832" s="138">
        <f t="shared" si="161"/>
        <v>0</v>
      </c>
      <c r="P832" s="138">
        <f t="shared" si="161"/>
        <v>3851.2</v>
      </c>
    </row>
    <row r="833" spans="1:22" ht="53.45" x14ac:dyDescent="0.3">
      <c r="A833" s="34"/>
      <c r="B833" s="34"/>
      <c r="C833" s="34" t="s">
        <v>25</v>
      </c>
      <c r="D833" s="34"/>
      <c r="E833" s="35" t="s">
        <v>700</v>
      </c>
      <c r="F833" s="139">
        <f t="shared" si="163"/>
        <v>3684.4</v>
      </c>
      <c r="G833" s="139">
        <f t="shared" si="163"/>
        <v>-93.1</v>
      </c>
      <c r="H833" s="139">
        <f t="shared" si="163"/>
        <v>3693.7000000000003</v>
      </c>
      <c r="I833" s="139">
        <f t="shared" si="163"/>
        <v>0</v>
      </c>
      <c r="J833" s="139">
        <f t="shared" si="163"/>
        <v>3693.7000000000003</v>
      </c>
      <c r="K833" s="139">
        <f t="shared" si="161"/>
        <v>3785.1</v>
      </c>
      <c r="L833" s="139">
        <f t="shared" si="161"/>
        <v>0</v>
      </c>
      <c r="M833" s="139">
        <f t="shared" si="161"/>
        <v>3785.1</v>
      </c>
      <c r="N833" s="139">
        <f t="shared" si="161"/>
        <v>3851.2</v>
      </c>
      <c r="O833" s="139">
        <f t="shared" si="161"/>
        <v>0</v>
      </c>
      <c r="P833" s="139">
        <f t="shared" si="161"/>
        <v>3851.2</v>
      </c>
    </row>
    <row r="834" spans="1:22" ht="40.15" x14ac:dyDescent="0.3">
      <c r="A834" s="36"/>
      <c r="B834" s="36"/>
      <c r="C834" s="36" t="s">
        <v>27</v>
      </c>
      <c r="D834" s="39"/>
      <c r="E834" s="37" t="s">
        <v>28</v>
      </c>
      <c r="F834" s="131">
        <f t="shared" si="163"/>
        <v>3684.4</v>
      </c>
      <c r="G834" s="131">
        <f t="shared" si="163"/>
        <v>-93.1</v>
      </c>
      <c r="H834" s="131">
        <f t="shared" si="163"/>
        <v>3693.7000000000003</v>
      </c>
      <c r="I834" s="131">
        <f t="shared" si="163"/>
        <v>0</v>
      </c>
      <c r="J834" s="131">
        <f t="shared" si="163"/>
        <v>3693.7000000000003</v>
      </c>
      <c r="K834" s="131">
        <f t="shared" si="161"/>
        <v>3785.1</v>
      </c>
      <c r="L834" s="131">
        <f t="shared" si="161"/>
        <v>0</v>
      </c>
      <c r="M834" s="131">
        <f t="shared" si="161"/>
        <v>3785.1</v>
      </c>
      <c r="N834" s="131">
        <f t="shared" si="161"/>
        <v>3851.2</v>
      </c>
      <c r="O834" s="131">
        <f t="shared" si="161"/>
        <v>0</v>
      </c>
      <c r="P834" s="131">
        <f t="shared" si="161"/>
        <v>3851.2</v>
      </c>
    </row>
    <row r="835" spans="1:22" ht="26.45" x14ac:dyDescent="0.3">
      <c r="A835" s="80"/>
      <c r="B835" s="17"/>
      <c r="C835" s="91" t="s">
        <v>31</v>
      </c>
      <c r="D835" s="17"/>
      <c r="E835" s="1" t="s">
        <v>32</v>
      </c>
      <c r="F835" s="135">
        <f>F836+F837</f>
        <v>3684.4</v>
      </c>
      <c r="G835" s="135">
        <f>G836+G837</f>
        <v>-93.1</v>
      </c>
      <c r="H835" s="135">
        <f>H836+H837</f>
        <v>3693.7000000000003</v>
      </c>
      <c r="I835" s="135">
        <f>I836</f>
        <v>0</v>
      </c>
      <c r="J835" s="135">
        <f>J836+J837</f>
        <v>3693.7000000000003</v>
      </c>
      <c r="K835" s="135">
        <f>K836+K837</f>
        <v>3785.1</v>
      </c>
      <c r="L835" s="135">
        <f>L836+L837</f>
        <v>0</v>
      </c>
      <c r="M835" s="135">
        <f>M836+M837</f>
        <v>3785.1</v>
      </c>
      <c r="N835" s="135">
        <f>N836+N837</f>
        <v>3851.2</v>
      </c>
      <c r="O835" s="135">
        <f>O836</f>
        <v>0</v>
      </c>
      <c r="P835" s="135">
        <f>P836+P837</f>
        <v>3851.2</v>
      </c>
    </row>
    <row r="836" spans="1:22" ht="40.15" x14ac:dyDescent="0.3">
      <c r="A836" s="80"/>
      <c r="B836" s="17"/>
      <c r="C836" s="91"/>
      <c r="D836" s="17" t="s">
        <v>505</v>
      </c>
      <c r="E836" s="3" t="s">
        <v>506</v>
      </c>
      <c r="F836" s="135">
        <v>3546</v>
      </c>
      <c r="G836" s="135">
        <v>-88.5</v>
      </c>
      <c r="H836" s="135">
        <v>3559.9</v>
      </c>
      <c r="I836" s="154"/>
      <c r="J836" s="135">
        <f>H836+I836</f>
        <v>3559.9</v>
      </c>
      <c r="K836" s="135">
        <v>3719</v>
      </c>
      <c r="L836" s="154"/>
      <c r="M836" s="135">
        <f>SUM(K836:L836)</f>
        <v>3719</v>
      </c>
      <c r="N836" s="135">
        <v>3719</v>
      </c>
      <c r="O836" s="154"/>
      <c r="P836" s="135">
        <f>SUM(N836:O836)</f>
        <v>3719</v>
      </c>
    </row>
    <row r="837" spans="1:22" ht="26.45" x14ac:dyDescent="0.3">
      <c r="A837" s="80"/>
      <c r="B837" s="17"/>
      <c r="C837" s="91"/>
      <c r="D837" s="17" t="s">
        <v>336</v>
      </c>
      <c r="E837" s="8" t="s">
        <v>337</v>
      </c>
      <c r="F837" s="130">
        <v>138.4</v>
      </c>
      <c r="G837" s="130">
        <v>-4.5999999999999996</v>
      </c>
      <c r="H837" s="130">
        <f>F837+G837</f>
        <v>133.80000000000001</v>
      </c>
      <c r="I837" s="130"/>
      <c r="J837" s="130">
        <f>H837+I837</f>
        <v>133.80000000000001</v>
      </c>
      <c r="K837" s="130">
        <v>66.100000000000023</v>
      </c>
      <c r="L837" s="130"/>
      <c r="M837" s="130">
        <f>138.4-6.2-66.1</f>
        <v>66.100000000000023</v>
      </c>
      <c r="N837" s="130">
        <f>138.4-6.2</f>
        <v>132.20000000000002</v>
      </c>
      <c r="O837" s="130"/>
      <c r="P837" s="130">
        <f>138.4-6.2</f>
        <v>132.20000000000002</v>
      </c>
      <c r="Q837" s="41"/>
      <c r="R837" s="41"/>
      <c r="S837" s="41"/>
      <c r="T837" s="41"/>
      <c r="U837" s="41"/>
      <c r="V837" s="41"/>
    </row>
    <row r="838" spans="1:22" ht="39.6" x14ac:dyDescent="0.3">
      <c r="A838" s="93"/>
      <c r="B838" s="94"/>
      <c r="C838" s="95" t="s">
        <v>251</v>
      </c>
      <c r="D838" s="94"/>
      <c r="E838" s="96" t="s">
        <v>252</v>
      </c>
      <c r="F838" s="138">
        <f>F839</f>
        <v>1545</v>
      </c>
      <c r="G838" s="138"/>
      <c r="H838" s="138">
        <f>H839</f>
        <v>1580</v>
      </c>
      <c r="I838" s="138">
        <f>I839</f>
        <v>32</v>
      </c>
      <c r="J838" s="138">
        <f>J839</f>
        <v>1612</v>
      </c>
      <c r="K838" s="138">
        <f>K839</f>
        <v>1545</v>
      </c>
      <c r="L838" s="138"/>
      <c r="M838" s="138">
        <f>M839</f>
        <v>1545</v>
      </c>
      <c r="N838" s="138">
        <f>N839</f>
        <v>1545</v>
      </c>
      <c r="O838" s="138"/>
      <c r="P838" s="138">
        <f>P839</f>
        <v>1545</v>
      </c>
    </row>
    <row r="839" spans="1:22" ht="27" x14ac:dyDescent="0.3">
      <c r="A839" s="34"/>
      <c r="B839" s="34"/>
      <c r="C839" s="34" t="s">
        <v>253</v>
      </c>
      <c r="D839" s="34"/>
      <c r="E839" s="35" t="s">
        <v>254</v>
      </c>
      <c r="F839" s="139">
        <f>F840+F845</f>
        <v>1545</v>
      </c>
      <c r="G839" s="139"/>
      <c r="H839" s="139">
        <f>H840+H845</f>
        <v>1580</v>
      </c>
      <c r="I839" s="139">
        <f>I840+I845</f>
        <v>32</v>
      </c>
      <c r="J839" s="139">
        <f>J840+J845</f>
        <v>1612</v>
      </c>
      <c r="K839" s="139">
        <f>K840+K845</f>
        <v>1545</v>
      </c>
      <c r="L839" s="139"/>
      <c r="M839" s="139">
        <f>M840+M845</f>
        <v>1545</v>
      </c>
      <c r="N839" s="139">
        <f>N840+N845</f>
        <v>1545</v>
      </c>
      <c r="O839" s="139"/>
      <c r="P839" s="139">
        <f>P840+P845</f>
        <v>1545</v>
      </c>
    </row>
    <row r="840" spans="1:22" ht="27" x14ac:dyDescent="0.3">
      <c r="A840" s="36"/>
      <c r="B840" s="36"/>
      <c r="C840" s="36" t="s">
        <v>269</v>
      </c>
      <c r="D840" s="39"/>
      <c r="E840" s="37" t="s">
        <v>270</v>
      </c>
      <c r="F840" s="131">
        <f>F841+F843</f>
        <v>1465</v>
      </c>
      <c r="G840" s="131"/>
      <c r="H840" s="131">
        <f>H841+H843</f>
        <v>1530</v>
      </c>
      <c r="I840" s="131">
        <f>I841+I843</f>
        <v>32</v>
      </c>
      <c r="J840" s="131">
        <f>J841+J843</f>
        <v>1562</v>
      </c>
      <c r="K840" s="131">
        <f>K841+K843</f>
        <v>1465</v>
      </c>
      <c r="L840" s="131"/>
      <c r="M840" s="131">
        <f>M841+M843</f>
        <v>1465</v>
      </c>
      <c r="N840" s="131">
        <f>N841+N843</f>
        <v>1465</v>
      </c>
      <c r="O840" s="131"/>
      <c r="P840" s="131">
        <f>P841+P843</f>
        <v>1465</v>
      </c>
    </row>
    <row r="841" spans="1:22" ht="66.599999999999994" x14ac:dyDescent="0.3">
      <c r="A841" s="7"/>
      <c r="B841" s="7"/>
      <c r="C841" s="7" t="s">
        <v>271</v>
      </c>
      <c r="D841" s="7"/>
      <c r="E841" s="3" t="s">
        <v>272</v>
      </c>
      <c r="F841" s="130">
        <v>875</v>
      </c>
      <c r="G841" s="130"/>
      <c r="H841" s="130">
        <f>H842</f>
        <v>925</v>
      </c>
      <c r="I841" s="130"/>
      <c r="J841" s="130">
        <f>J842</f>
        <v>925</v>
      </c>
      <c r="K841" s="130">
        <v>875</v>
      </c>
      <c r="L841" s="130"/>
      <c r="M841" s="130">
        <v>875</v>
      </c>
      <c r="N841" s="130">
        <v>875</v>
      </c>
      <c r="O841" s="130"/>
      <c r="P841" s="130">
        <v>875</v>
      </c>
    </row>
    <row r="842" spans="1:22" ht="27" x14ac:dyDescent="0.3">
      <c r="A842" s="7"/>
      <c r="B842" s="7"/>
      <c r="C842" s="7"/>
      <c r="D842" s="7" t="s">
        <v>608</v>
      </c>
      <c r="E842" s="3" t="s">
        <v>609</v>
      </c>
      <c r="F842" s="130">
        <v>875</v>
      </c>
      <c r="G842" s="130"/>
      <c r="H842" s="130">
        <v>925</v>
      </c>
      <c r="I842" s="130"/>
      <c r="J842" s="130">
        <v>925</v>
      </c>
      <c r="K842" s="130">
        <v>875</v>
      </c>
      <c r="L842" s="130"/>
      <c r="M842" s="130">
        <v>875</v>
      </c>
      <c r="N842" s="130">
        <v>875</v>
      </c>
      <c r="O842" s="130"/>
      <c r="P842" s="130">
        <v>875</v>
      </c>
    </row>
    <row r="843" spans="1:22" ht="53.45" x14ac:dyDescent="0.3">
      <c r="A843" s="7"/>
      <c r="B843" s="7"/>
      <c r="C843" s="7" t="s">
        <v>273</v>
      </c>
      <c r="D843" s="7"/>
      <c r="E843" s="3" t="s">
        <v>274</v>
      </c>
      <c r="F843" s="130">
        <v>590</v>
      </c>
      <c r="G843" s="130"/>
      <c r="H843" s="130">
        <f>H844</f>
        <v>605</v>
      </c>
      <c r="I843" s="130">
        <f>I844</f>
        <v>32</v>
      </c>
      <c r="J843" s="130">
        <f>J844</f>
        <v>637</v>
      </c>
      <c r="K843" s="130">
        <v>590</v>
      </c>
      <c r="L843" s="130"/>
      <c r="M843" s="130">
        <v>590</v>
      </c>
      <c r="N843" s="130">
        <v>590</v>
      </c>
      <c r="O843" s="130"/>
      <c r="P843" s="130">
        <v>590</v>
      </c>
    </row>
    <row r="844" spans="1:22" s="58" customFormat="1" ht="27" x14ac:dyDescent="0.3">
      <c r="A844" s="7"/>
      <c r="B844" s="7"/>
      <c r="C844" s="7"/>
      <c r="D844" s="7" t="s">
        <v>608</v>
      </c>
      <c r="E844" s="3" t="s">
        <v>609</v>
      </c>
      <c r="F844" s="130">
        <v>590</v>
      </c>
      <c r="G844" s="130"/>
      <c r="H844" s="130">
        <v>605</v>
      </c>
      <c r="I844" s="130">
        <v>32</v>
      </c>
      <c r="J844" s="130">
        <f>SUM(H844:I844)</f>
        <v>637</v>
      </c>
      <c r="K844" s="130">
        <v>590</v>
      </c>
      <c r="L844" s="130"/>
      <c r="M844" s="130">
        <v>590</v>
      </c>
      <c r="N844" s="130">
        <v>590</v>
      </c>
      <c r="O844" s="130"/>
      <c r="P844" s="130">
        <v>590</v>
      </c>
    </row>
    <row r="845" spans="1:22" ht="14.45" x14ac:dyDescent="0.3">
      <c r="A845" s="36"/>
      <c r="B845" s="36"/>
      <c r="C845" s="36" t="s">
        <v>275</v>
      </c>
      <c r="D845" s="39"/>
      <c r="E845" s="37" t="s">
        <v>276</v>
      </c>
      <c r="F845" s="131">
        <f>F846</f>
        <v>80</v>
      </c>
      <c r="G845" s="131"/>
      <c r="H845" s="131">
        <f>H846</f>
        <v>50</v>
      </c>
      <c r="I845" s="131"/>
      <c r="J845" s="131">
        <f>J846</f>
        <v>50</v>
      </c>
      <c r="K845" s="131">
        <f>K846</f>
        <v>80</v>
      </c>
      <c r="L845" s="131"/>
      <c r="M845" s="131">
        <f>M846</f>
        <v>80</v>
      </c>
      <c r="N845" s="131">
        <f>N846</f>
        <v>80</v>
      </c>
      <c r="O845" s="131"/>
      <c r="P845" s="131">
        <f>P846</f>
        <v>80</v>
      </c>
    </row>
    <row r="846" spans="1:22" ht="27" x14ac:dyDescent="0.3">
      <c r="A846" s="7"/>
      <c r="B846" s="7"/>
      <c r="C846" s="7" t="s">
        <v>277</v>
      </c>
      <c r="D846" s="7"/>
      <c r="E846" s="3" t="s">
        <v>561</v>
      </c>
      <c r="F846" s="130">
        <v>80</v>
      </c>
      <c r="G846" s="130"/>
      <c r="H846" s="130">
        <f>H847</f>
        <v>50</v>
      </c>
      <c r="I846" s="130"/>
      <c r="J846" s="130">
        <f>J847</f>
        <v>50</v>
      </c>
      <c r="K846" s="130">
        <v>80</v>
      </c>
      <c r="L846" s="130"/>
      <c r="M846" s="130">
        <v>80</v>
      </c>
      <c r="N846" s="130">
        <v>80</v>
      </c>
      <c r="O846" s="130"/>
      <c r="P846" s="130">
        <v>80</v>
      </c>
    </row>
    <row r="847" spans="1:22" ht="27" x14ac:dyDescent="0.3">
      <c r="A847" s="7"/>
      <c r="B847" s="7"/>
      <c r="C847" s="7"/>
      <c r="D847" s="7" t="s">
        <v>608</v>
      </c>
      <c r="E847" s="3" t="s">
        <v>609</v>
      </c>
      <c r="F847" s="130">
        <v>80</v>
      </c>
      <c r="G847" s="130"/>
      <c r="H847" s="130">
        <v>50</v>
      </c>
      <c r="I847" s="130"/>
      <c r="J847" s="130">
        <v>50</v>
      </c>
      <c r="K847" s="130">
        <v>80</v>
      </c>
      <c r="L847" s="130"/>
      <c r="M847" s="130">
        <v>80</v>
      </c>
      <c r="N847" s="130">
        <v>80</v>
      </c>
      <c r="O847" s="130"/>
      <c r="P847" s="130">
        <v>80</v>
      </c>
    </row>
    <row r="848" spans="1:22" ht="14.45" x14ac:dyDescent="0.3">
      <c r="A848" s="80"/>
      <c r="B848" s="18">
        <v>1000</v>
      </c>
      <c r="C848" s="86"/>
      <c r="D848" s="85"/>
      <c r="E848" s="87" t="s">
        <v>671</v>
      </c>
      <c r="F848" s="137">
        <f>F849</f>
        <v>425</v>
      </c>
      <c r="G848" s="137"/>
      <c r="H848" s="137">
        <f t="shared" ref="H848:J852" si="164">H849</f>
        <v>425</v>
      </c>
      <c r="I848" s="137">
        <f t="shared" si="164"/>
        <v>0</v>
      </c>
      <c r="J848" s="137">
        <f t="shared" si="164"/>
        <v>425</v>
      </c>
      <c r="K848" s="137">
        <f t="shared" ref="K848:P852" si="165">K849</f>
        <v>348.9</v>
      </c>
      <c r="L848" s="137"/>
      <c r="M848" s="137">
        <f t="shared" si="165"/>
        <v>348.9</v>
      </c>
      <c r="N848" s="137">
        <f t="shared" si="165"/>
        <v>348.9</v>
      </c>
      <c r="O848" s="137"/>
      <c r="P848" s="137">
        <f t="shared" si="165"/>
        <v>348.9</v>
      </c>
    </row>
    <row r="849" spans="1:16" ht="14.45" x14ac:dyDescent="0.3">
      <c r="A849" s="85"/>
      <c r="B849" s="18">
        <v>1003</v>
      </c>
      <c r="C849" s="86"/>
      <c r="D849" s="85"/>
      <c r="E849" s="87" t="s">
        <v>675</v>
      </c>
      <c r="F849" s="137">
        <f>F850</f>
        <v>425</v>
      </c>
      <c r="G849" s="137"/>
      <c r="H849" s="137">
        <f t="shared" si="164"/>
        <v>425</v>
      </c>
      <c r="I849" s="137">
        <f t="shared" si="164"/>
        <v>0</v>
      </c>
      <c r="J849" s="137">
        <f t="shared" si="164"/>
        <v>425</v>
      </c>
      <c r="K849" s="137">
        <f t="shared" si="165"/>
        <v>348.9</v>
      </c>
      <c r="L849" s="137"/>
      <c r="M849" s="137">
        <f t="shared" si="165"/>
        <v>348.9</v>
      </c>
      <c r="N849" s="137">
        <f t="shared" si="165"/>
        <v>348.9</v>
      </c>
      <c r="O849" s="137"/>
      <c r="P849" s="137">
        <f t="shared" si="165"/>
        <v>348.9</v>
      </c>
    </row>
    <row r="850" spans="1:16" ht="26.45" x14ac:dyDescent="0.3">
      <c r="A850" s="109"/>
      <c r="B850" s="18"/>
      <c r="C850" s="86" t="s">
        <v>6</v>
      </c>
      <c r="D850" s="85"/>
      <c r="E850" s="90" t="s">
        <v>7</v>
      </c>
      <c r="F850" s="137">
        <f>F851</f>
        <v>425</v>
      </c>
      <c r="G850" s="137"/>
      <c r="H850" s="137">
        <f t="shared" si="164"/>
        <v>425</v>
      </c>
      <c r="I850" s="137">
        <f t="shared" si="164"/>
        <v>0</v>
      </c>
      <c r="J850" s="137">
        <f t="shared" si="164"/>
        <v>425</v>
      </c>
      <c r="K850" s="137">
        <f t="shared" si="165"/>
        <v>348.9</v>
      </c>
      <c r="L850" s="137"/>
      <c r="M850" s="137">
        <f t="shared" si="165"/>
        <v>348.9</v>
      </c>
      <c r="N850" s="137">
        <f t="shared" si="165"/>
        <v>348.9</v>
      </c>
      <c r="O850" s="137"/>
      <c r="P850" s="137">
        <f t="shared" si="165"/>
        <v>348.9</v>
      </c>
    </row>
    <row r="851" spans="1:16" ht="26.45" x14ac:dyDescent="0.3">
      <c r="A851" s="93"/>
      <c r="B851" s="94"/>
      <c r="C851" s="95" t="s">
        <v>65</v>
      </c>
      <c r="D851" s="94"/>
      <c r="E851" s="96" t="s">
        <v>66</v>
      </c>
      <c r="F851" s="138">
        <f>F852</f>
        <v>425</v>
      </c>
      <c r="G851" s="138"/>
      <c r="H851" s="138">
        <f t="shared" si="164"/>
        <v>425</v>
      </c>
      <c r="I851" s="138">
        <f t="shared" si="164"/>
        <v>0</v>
      </c>
      <c r="J851" s="138">
        <f t="shared" si="164"/>
        <v>425</v>
      </c>
      <c r="K851" s="138">
        <f t="shared" si="165"/>
        <v>348.9</v>
      </c>
      <c r="L851" s="138"/>
      <c r="M851" s="138">
        <f t="shared" si="165"/>
        <v>348.9</v>
      </c>
      <c r="N851" s="138">
        <f t="shared" si="165"/>
        <v>348.9</v>
      </c>
      <c r="O851" s="138"/>
      <c r="P851" s="138">
        <f t="shared" si="165"/>
        <v>348.9</v>
      </c>
    </row>
    <row r="852" spans="1:16" ht="14.45" x14ac:dyDescent="0.3">
      <c r="A852" s="34"/>
      <c r="B852" s="34"/>
      <c r="C852" s="34" t="s">
        <v>148</v>
      </c>
      <c r="D852" s="34"/>
      <c r="E852" s="35" t="s">
        <v>149</v>
      </c>
      <c r="F852" s="139">
        <f>F853</f>
        <v>425</v>
      </c>
      <c r="G852" s="139"/>
      <c r="H852" s="139">
        <f t="shared" si="164"/>
        <v>425</v>
      </c>
      <c r="I852" s="139">
        <f t="shared" si="164"/>
        <v>0</v>
      </c>
      <c r="J852" s="139">
        <f t="shared" si="164"/>
        <v>425</v>
      </c>
      <c r="K852" s="139">
        <f t="shared" si="165"/>
        <v>348.9</v>
      </c>
      <c r="L852" s="139"/>
      <c r="M852" s="139">
        <f t="shared" si="165"/>
        <v>348.9</v>
      </c>
      <c r="N852" s="139">
        <f t="shared" si="165"/>
        <v>348.9</v>
      </c>
      <c r="O852" s="139"/>
      <c r="P852" s="139">
        <f t="shared" si="165"/>
        <v>348.9</v>
      </c>
    </row>
    <row r="853" spans="1:16" ht="27" x14ac:dyDescent="0.3">
      <c r="A853" s="36"/>
      <c r="B853" s="36"/>
      <c r="C853" s="36" t="s">
        <v>156</v>
      </c>
      <c r="D853" s="39"/>
      <c r="E853" s="37" t="s">
        <v>157</v>
      </c>
      <c r="F853" s="131">
        <f>F854+F857</f>
        <v>425</v>
      </c>
      <c r="G853" s="131"/>
      <c r="H853" s="131">
        <f>H854+H857</f>
        <v>425</v>
      </c>
      <c r="I853" s="131">
        <f>I854+I857</f>
        <v>0</v>
      </c>
      <c r="J853" s="131">
        <f>J854+J857</f>
        <v>425</v>
      </c>
      <c r="K853" s="131">
        <f>K854+K857</f>
        <v>348.9</v>
      </c>
      <c r="L853" s="131"/>
      <c r="M853" s="131">
        <f>M854+M857</f>
        <v>348.9</v>
      </c>
      <c r="N853" s="131">
        <f>N854+N857</f>
        <v>348.9</v>
      </c>
      <c r="O853" s="131"/>
      <c r="P853" s="131">
        <f>P854+P857</f>
        <v>348.9</v>
      </c>
    </row>
    <row r="854" spans="1:16" ht="52.9" x14ac:dyDescent="0.3">
      <c r="A854" s="109"/>
      <c r="B854" s="17"/>
      <c r="C854" s="91" t="s">
        <v>160</v>
      </c>
      <c r="D854" s="17"/>
      <c r="E854" s="1" t="s">
        <v>701</v>
      </c>
      <c r="F854" s="130">
        <f>SUM(F855:F856)</f>
        <v>379.6</v>
      </c>
      <c r="G854" s="130"/>
      <c r="H854" s="130">
        <f>SUM(H855:H856)</f>
        <v>379.6</v>
      </c>
      <c r="I854" s="130">
        <f>SUM(I855:I856)</f>
        <v>0</v>
      </c>
      <c r="J854" s="130">
        <f>SUM(H854:I854)</f>
        <v>379.6</v>
      </c>
      <c r="K854" s="130">
        <f>SUM(K855:K856)</f>
        <v>348.9</v>
      </c>
      <c r="L854" s="130"/>
      <c r="M854" s="130">
        <f>SUM(M855:M856)</f>
        <v>348.9</v>
      </c>
      <c r="N854" s="130">
        <f>SUM(N855:N856)</f>
        <v>348.9</v>
      </c>
      <c r="O854" s="130"/>
      <c r="P854" s="130">
        <f>SUM(P855:P856)</f>
        <v>348.9</v>
      </c>
    </row>
    <row r="855" spans="1:16" ht="14.45" x14ac:dyDescent="0.3">
      <c r="A855" s="109"/>
      <c r="B855" s="17"/>
      <c r="C855" s="91"/>
      <c r="D855" s="17" t="s">
        <v>534</v>
      </c>
      <c r="E855" s="3" t="s">
        <v>535</v>
      </c>
      <c r="F855" s="130">
        <v>0</v>
      </c>
      <c r="G855" s="130"/>
      <c r="H855" s="130">
        <v>0</v>
      </c>
      <c r="I855" s="130"/>
      <c r="J855" s="130">
        <v>0</v>
      </c>
      <c r="K855" s="130">
        <v>22.7</v>
      </c>
      <c r="L855" s="130"/>
      <c r="M855" s="130">
        <v>22.7</v>
      </c>
      <c r="N855" s="130">
        <v>22.7</v>
      </c>
      <c r="O855" s="130"/>
      <c r="P855" s="130">
        <v>22.7</v>
      </c>
    </row>
    <row r="856" spans="1:16" ht="26.45" x14ac:dyDescent="0.3">
      <c r="A856" s="109"/>
      <c r="B856" s="17"/>
      <c r="C856" s="91"/>
      <c r="D856" s="17" t="s">
        <v>608</v>
      </c>
      <c r="E856" s="8" t="s">
        <v>609</v>
      </c>
      <c r="F856" s="130">
        <v>379.6</v>
      </c>
      <c r="G856" s="130"/>
      <c r="H856" s="130">
        <v>379.6</v>
      </c>
      <c r="I856" s="130"/>
      <c r="J856" s="130">
        <f>SUM(H856:I856)</f>
        <v>379.6</v>
      </c>
      <c r="K856" s="130">
        <v>326.2</v>
      </c>
      <c r="L856" s="130"/>
      <c r="M856" s="130">
        <v>326.2</v>
      </c>
      <c r="N856" s="130">
        <v>326.2</v>
      </c>
      <c r="O856" s="130"/>
      <c r="P856" s="130">
        <v>326.2</v>
      </c>
    </row>
    <row r="857" spans="1:16" ht="26.45" x14ac:dyDescent="0.3">
      <c r="A857" s="85"/>
      <c r="B857" s="17"/>
      <c r="C857" s="91" t="s">
        <v>162</v>
      </c>
      <c r="D857" s="17"/>
      <c r="E857" s="1" t="s">
        <v>163</v>
      </c>
      <c r="F857" s="130">
        <f>F858</f>
        <v>45.4</v>
      </c>
      <c r="G857" s="130"/>
      <c r="H857" s="130">
        <f>H858</f>
        <v>45.4</v>
      </c>
      <c r="I857" s="130"/>
      <c r="J857" s="130">
        <f>J858</f>
        <v>45.4</v>
      </c>
      <c r="K857" s="130">
        <v>0</v>
      </c>
      <c r="L857" s="130"/>
      <c r="M857" s="130">
        <v>0</v>
      </c>
      <c r="N857" s="130">
        <v>0</v>
      </c>
      <c r="O857" s="130"/>
      <c r="P857" s="130">
        <v>0</v>
      </c>
    </row>
    <row r="858" spans="1:16" ht="26.45" x14ac:dyDescent="0.3">
      <c r="A858" s="80"/>
      <c r="B858" s="17"/>
      <c r="C858" s="91"/>
      <c r="D858" s="17" t="s">
        <v>336</v>
      </c>
      <c r="E858" s="8" t="s">
        <v>337</v>
      </c>
      <c r="F858" s="130">
        <f>F859+F860</f>
        <v>45.4</v>
      </c>
      <c r="G858" s="130"/>
      <c r="H858" s="130">
        <f>H859+H860</f>
        <v>45.4</v>
      </c>
      <c r="I858" s="130"/>
      <c r="J858" s="130">
        <f>J859+J860</f>
        <v>45.4</v>
      </c>
      <c r="K858" s="130">
        <v>0</v>
      </c>
      <c r="L858" s="130"/>
      <c r="M858" s="130">
        <v>0</v>
      </c>
      <c r="N858" s="130">
        <v>0</v>
      </c>
      <c r="O858" s="130"/>
      <c r="P858" s="130">
        <v>0</v>
      </c>
    </row>
    <row r="859" spans="1:16" ht="14.45" x14ac:dyDescent="0.3">
      <c r="A859" s="80"/>
      <c r="B859" s="17"/>
      <c r="C859" s="91"/>
      <c r="D859" s="17"/>
      <c r="E859" s="1" t="s">
        <v>95</v>
      </c>
      <c r="F859" s="130">
        <v>30.3</v>
      </c>
      <c r="G859" s="130"/>
      <c r="H859" s="130">
        <v>30.3</v>
      </c>
      <c r="I859" s="130"/>
      <c r="J859" s="130">
        <v>30.3</v>
      </c>
      <c r="K859" s="130">
        <v>0</v>
      </c>
      <c r="L859" s="130"/>
      <c r="M859" s="130">
        <v>0</v>
      </c>
      <c r="N859" s="130">
        <v>0</v>
      </c>
      <c r="O859" s="130"/>
      <c r="P859" s="130">
        <v>0</v>
      </c>
    </row>
    <row r="860" spans="1:16" ht="14.45" x14ac:dyDescent="0.3">
      <c r="A860" s="85"/>
      <c r="B860" s="17"/>
      <c r="C860" s="91"/>
      <c r="D860" s="17"/>
      <c r="E860" s="1" t="s">
        <v>96</v>
      </c>
      <c r="F860" s="130">
        <v>15.1</v>
      </c>
      <c r="G860" s="130"/>
      <c r="H860" s="130">
        <v>15.1</v>
      </c>
      <c r="I860" s="130"/>
      <c r="J860" s="130">
        <v>15.1</v>
      </c>
      <c r="K860" s="130">
        <v>0</v>
      </c>
      <c r="L860" s="130"/>
      <c r="M860" s="130">
        <v>0</v>
      </c>
      <c r="N860" s="130">
        <v>0</v>
      </c>
      <c r="O860" s="130"/>
      <c r="P860" s="130">
        <v>0</v>
      </c>
    </row>
    <row r="861" spans="1:16" ht="14.45" x14ac:dyDescent="0.3">
      <c r="A861" s="109"/>
      <c r="B861" s="18">
        <v>1100</v>
      </c>
      <c r="C861" s="86"/>
      <c r="D861" s="85"/>
      <c r="E861" s="87" t="s">
        <v>689</v>
      </c>
      <c r="F861" s="137">
        <f t="shared" ref="F861:P864" si="166">F862</f>
        <v>66</v>
      </c>
      <c r="G861" s="137"/>
      <c r="H861" s="137">
        <f t="shared" si="166"/>
        <v>66</v>
      </c>
      <c r="I861" s="137"/>
      <c r="J861" s="137">
        <f t="shared" si="166"/>
        <v>66</v>
      </c>
      <c r="K861" s="137">
        <f t="shared" si="166"/>
        <v>66</v>
      </c>
      <c r="L861" s="137"/>
      <c r="M861" s="137">
        <f t="shared" si="166"/>
        <v>66</v>
      </c>
      <c r="N861" s="137">
        <f t="shared" si="166"/>
        <v>66</v>
      </c>
      <c r="O861" s="137"/>
      <c r="P861" s="137">
        <f t="shared" si="166"/>
        <v>66</v>
      </c>
    </row>
    <row r="862" spans="1:16" ht="14.45" x14ac:dyDescent="0.3">
      <c r="A862" s="109"/>
      <c r="B862" s="18" t="s">
        <v>690</v>
      </c>
      <c r="C862" s="86"/>
      <c r="D862" s="18"/>
      <c r="E862" s="90" t="s">
        <v>691</v>
      </c>
      <c r="F862" s="137">
        <f t="shared" si="166"/>
        <v>66</v>
      </c>
      <c r="G862" s="137"/>
      <c r="H862" s="137">
        <f t="shared" si="166"/>
        <v>66</v>
      </c>
      <c r="I862" s="137"/>
      <c r="J862" s="137">
        <f t="shared" si="166"/>
        <v>66</v>
      </c>
      <c r="K862" s="137">
        <f t="shared" si="166"/>
        <v>66</v>
      </c>
      <c r="L862" s="137"/>
      <c r="M862" s="137">
        <f t="shared" si="166"/>
        <v>66</v>
      </c>
      <c r="N862" s="137">
        <f t="shared" si="166"/>
        <v>66</v>
      </c>
      <c r="O862" s="137"/>
      <c r="P862" s="137">
        <f t="shared" si="166"/>
        <v>66</v>
      </c>
    </row>
    <row r="863" spans="1:16" ht="26.45" x14ac:dyDescent="0.3">
      <c r="A863" s="109"/>
      <c r="B863" s="18"/>
      <c r="C863" s="86" t="s">
        <v>6</v>
      </c>
      <c r="D863" s="18"/>
      <c r="E863" s="90" t="s">
        <v>7</v>
      </c>
      <c r="F863" s="137">
        <f t="shared" si="166"/>
        <v>66</v>
      </c>
      <c r="G863" s="137"/>
      <c r="H863" s="137">
        <f t="shared" si="166"/>
        <v>66</v>
      </c>
      <c r="I863" s="137"/>
      <c r="J863" s="137">
        <f t="shared" si="166"/>
        <v>66</v>
      </c>
      <c r="K863" s="137">
        <f t="shared" si="166"/>
        <v>66</v>
      </c>
      <c r="L863" s="137"/>
      <c r="M863" s="137">
        <f t="shared" si="166"/>
        <v>66</v>
      </c>
      <c r="N863" s="137">
        <f t="shared" si="166"/>
        <v>66</v>
      </c>
      <c r="O863" s="137"/>
      <c r="P863" s="137">
        <f t="shared" si="166"/>
        <v>66</v>
      </c>
    </row>
    <row r="864" spans="1:16" ht="26.45" x14ac:dyDescent="0.3">
      <c r="A864" s="93"/>
      <c r="B864" s="94"/>
      <c r="C864" s="95" t="s">
        <v>306</v>
      </c>
      <c r="D864" s="94"/>
      <c r="E864" s="96" t="s">
        <v>307</v>
      </c>
      <c r="F864" s="138">
        <f t="shared" si="166"/>
        <v>66</v>
      </c>
      <c r="G864" s="138"/>
      <c r="H864" s="138">
        <f t="shared" si="166"/>
        <v>66</v>
      </c>
      <c r="I864" s="138"/>
      <c r="J864" s="138">
        <f t="shared" si="166"/>
        <v>66</v>
      </c>
      <c r="K864" s="138">
        <f t="shared" si="166"/>
        <v>66</v>
      </c>
      <c r="L864" s="138"/>
      <c r="M864" s="138">
        <f t="shared" si="166"/>
        <v>66</v>
      </c>
      <c r="N864" s="138">
        <f t="shared" si="166"/>
        <v>66</v>
      </c>
      <c r="O864" s="138"/>
      <c r="P864" s="138">
        <f t="shared" si="166"/>
        <v>66</v>
      </c>
    </row>
    <row r="865" spans="1:22" ht="40.15" x14ac:dyDescent="0.3">
      <c r="A865" s="36"/>
      <c r="B865" s="36"/>
      <c r="C865" s="36" t="s">
        <v>308</v>
      </c>
      <c r="D865" s="36"/>
      <c r="E865" s="37" t="s">
        <v>309</v>
      </c>
      <c r="F865" s="131">
        <f t="shared" ref="F865:P866" si="167">F866</f>
        <v>66</v>
      </c>
      <c r="G865" s="131"/>
      <c r="H865" s="131">
        <f t="shared" si="167"/>
        <v>66</v>
      </c>
      <c r="I865" s="131"/>
      <c r="J865" s="131">
        <f t="shared" si="167"/>
        <v>66</v>
      </c>
      <c r="K865" s="131">
        <f t="shared" si="167"/>
        <v>66</v>
      </c>
      <c r="L865" s="131"/>
      <c r="M865" s="131">
        <f t="shared" si="167"/>
        <v>66</v>
      </c>
      <c r="N865" s="131">
        <f t="shared" si="167"/>
        <v>66</v>
      </c>
      <c r="O865" s="131"/>
      <c r="P865" s="131">
        <f t="shared" si="167"/>
        <v>66</v>
      </c>
    </row>
    <row r="866" spans="1:22" ht="53.25" customHeight="1" x14ac:dyDescent="0.3">
      <c r="A866" s="81"/>
      <c r="B866" s="81"/>
      <c r="C866" s="7" t="s">
        <v>310</v>
      </c>
      <c r="D866" s="7"/>
      <c r="E866" s="3" t="s">
        <v>311</v>
      </c>
      <c r="F866" s="130">
        <f>F867</f>
        <v>66</v>
      </c>
      <c r="G866" s="130"/>
      <c r="H866" s="130">
        <f>H867</f>
        <v>66</v>
      </c>
      <c r="I866" s="130"/>
      <c r="J866" s="130">
        <f>J867</f>
        <v>66</v>
      </c>
      <c r="K866" s="130">
        <f t="shared" si="167"/>
        <v>66</v>
      </c>
      <c r="L866" s="130"/>
      <c r="M866" s="130">
        <f t="shared" si="167"/>
        <v>66</v>
      </c>
      <c r="N866" s="130">
        <f t="shared" si="167"/>
        <v>66</v>
      </c>
      <c r="O866" s="130"/>
      <c r="P866" s="130">
        <f t="shared" si="167"/>
        <v>66</v>
      </c>
    </row>
    <row r="867" spans="1:22" ht="27" x14ac:dyDescent="0.3">
      <c r="A867" s="81"/>
      <c r="B867" s="81"/>
      <c r="C867" s="7"/>
      <c r="D867" s="7" t="s">
        <v>608</v>
      </c>
      <c r="E867" s="3" t="s">
        <v>609</v>
      </c>
      <c r="F867" s="130">
        <v>66</v>
      </c>
      <c r="G867" s="130"/>
      <c r="H867" s="130">
        <v>66</v>
      </c>
      <c r="I867" s="130"/>
      <c r="J867" s="130">
        <v>66</v>
      </c>
      <c r="K867" s="130">
        <v>66</v>
      </c>
      <c r="L867" s="130"/>
      <c r="M867" s="130">
        <v>66</v>
      </c>
      <c r="N867" s="130">
        <v>66</v>
      </c>
      <c r="O867" s="130"/>
      <c r="P867" s="130">
        <v>66</v>
      </c>
    </row>
    <row r="868" spans="1:22" ht="14.45" x14ac:dyDescent="0.3">
      <c r="A868" s="109"/>
      <c r="B868" s="18">
        <v>1200</v>
      </c>
      <c r="C868" s="86"/>
      <c r="D868" s="85"/>
      <c r="E868" s="87" t="s">
        <v>702</v>
      </c>
      <c r="F868" s="137">
        <f>F869</f>
        <v>1368.8</v>
      </c>
      <c r="G868" s="137"/>
      <c r="H868" s="137">
        <f>H869</f>
        <v>1368.8</v>
      </c>
      <c r="I868" s="137"/>
      <c r="J868" s="137">
        <f>J869</f>
        <v>1368.8</v>
      </c>
      <c r="K868" s="137">
        <f t="shared" ref="K868:P871" si="168">K869</f>
        <v>1368.8</v>
      </c>
      <c r="L868" s="137"/>
      <c r="M868" s="137">
        <f t="shared" si="168"/>
        <v>1368.8</v>
      </c>
      <c r="N868" s="137">
        <f t="shared" si="168"/>
        <v>1368.8</v>
      </c>
      <c r="O868" s="137"/>
      <c r="P868" s="137">
        <f t="shared" si="168"/>
        <v>1368.8</v>
      </c>
    </row>
    <row r="869" spans="1:22" ht="14.45" x14ac:dyDescent="0.3">
      <c r="A869" s="85"/>
      <c r="B869" s="18">
        <v>1202</v>
      </c>
      <c r="C869" s="86"/>
      <c r="D869" s="85"/>
      <c r="E869" s="87" t="s">
        <v>703</v>
      </c>
      <c r="F869" s="137">
        <f>F870</f>
        <v>1368.8</v>
      </c>
      <c r="G869" s="137"/>
      <c r="H869" s="137">
        <f>H870</f>
        <v>1368.8</v>
      </c>
      <c r="I869" s="137"/>
      <c r="J869" s="137">
        <f>J870</f>
        <v>1368.8</v>
      </c>
      <c r="K869" s="137">
        <f t="shared" si="168"/>
        <v>1368.8</v>
      </c>
      <c r="L869" s="137"/>
      <c r="M869" s="137">
        <f t="shared" si="168"/>
        <v>1368.8</v>
      </c>
      <c r="N869" s="137">
        <f t="shared" si="168"/>
        <v>1368.8</v>
      </c>
      <c r="O869" s="137"/>
      <c r="P869" s="137">
        <f t="shared" si="168"/>
        <v>1368.8</v>
      </c>
    </row>
    <row r="870" spans="1:22" ht="26.45" x14ac:dyDescent="0.3">
      <c r="A870" s="85"/>
      <c r="B870" s="18"/>
      <c r="C870" s="86" t="s">
        <v>6</v>
      </c>
      <c r="D870" s="85"/>
      <c r="E870" s="90" t="s">
        <v>7</v>
      </c>
      <c r="F870" s="137">
        <f>F871</f>
        <v>1368.8</v>
      </c>
      <c r="G870" s="137"/>
      <c r="H870" s="137">
        <f>H871</f>
        <v>1368.8</v>
      </c>
      <c r="I870" s="137"/>
      <c r="J870" s="137">
        <f>J871</f>
        <v>1368.8</v>
      </c>
      <c r="K870" s="137">
        <f t="shared" si="168"/>
        <v>1368.8</v>
      </c>
      <c r="L870" s="137"/>
      <c r="M870" s="137">
        <f t="shared" si="168"/>
        <v>1368.8</v>
      </c>
      <c r="N870" s="137">
        <f t="shared" si="168"/>
        <v>1368.8</v>
      </c>
      <c r="O870" s="137"/>
      <c r="P870" s="137">
        <f t="shared" si="168"/>
        <v>1368.8</v>
      </c>
    </row>
    <row r="871" spans="1:22" ht="39.6" x14ac:dyDescent="0.3">
      <c r="A871" s="108"/>
      <c r="B871" s="94"/>
      <c r="C871" s="95" t="s">
        <v>251</v>
      </c>
      <c r="D871" s="94"/>
      <c r="E871" s="96" t="s">
        <v>252</v>
      </c>
      <c r="F871" s="138">
        <f>F872</f>
        <v>1368.8</v>
      </c>
      <c r="G871" s="138"/>
      <c r="H871" s="138">
        <f>H872</f>
        <v>1368.8</v>
      </c>
      <c r="I871" s="138"/>
      <c r="J871" s="138">
        <f>J872</f>
        <v>1368.8</v>
      </c>
      <c r="K871" s="138">
        <f t="shared" si="168"/>
        <v>1368.8</v>
      </c>
      <c r="L871" s="138"/>
      <c r="M871" s="138">
        <f t="shared" si="168"/>
        <v>1368.8</v>
      </c>
      <c r="N871" s="138">
        <f t="shared" si="168"/>
        <v>1368.8</v>
      </c>
      <c r="O871" s="138"/>
      <c r="P871" s="138">
        <f t="shared" si="168"/>
        <v>1368.8</v>
      </c>
      <c r="Q871" s="41"/>
      <c r="R871" s="41"/>
      <c r="S871" s="41"/>
      <c r="T871" s="41"/>
      <c r="U871" s="41"/>
      <c r="V871" s="41"/>
    </row>
    <row r="872" spans="1:22" ht="14.45" x14ac:dyDescent="0.3">
      <c r="A872" s="34"/>
      <c r="B872" s="34"/>
      <c r="C872" s="34" t="s">
        <v>301</v>
      </c>
      <c r="D872" s="34"/>
      <c r="E872" s="35" t="s">
        <v>302</v>
      </c>
      <c r="F872" s="139">
        <f t="shared" ref="F872:P873" si="169">F873</f>
        <v>1368.8</v>
      </c>
      <c r="G872" s="139"/>
      <c r="H872" s="139">
        <f t="shared" si="169"/>
        <v>1368.8</v>
      </c>
      <c r="I872" s="139"/>
      <c r="J872" s="139">
        <f t="shared" si="169"/>
        <v>1368.8</v>
      </c>
      <c r="K872" s="139">
        <f t="shared" si="169"/>
        <v>1368.8</v>
      </c>
      <c r="L872" s="139"/>
      <c r="M872" s="139">
        <f t="shared" si="169"/>
        <v>1368.8</v>
      </c>
      <c r="N872" s="139">
        <f t="shared" si="169"/>
        <v>1368.8</v>
      </c>
      <c r="O872" s="139"/>
      <c r="P872" s="139">
        <f t="shared" si="169"/>
        <v>1368.8</v>
      </c>
    </row>
    <row r="873" spans="1:22" ht="53.45" x14ac:dyDescent="0.3">
      <c r="A873" s="36"/>
      <c r="B873" s="36"/>
      <c r="C873" s="36" t="s">
        <v>303</v>
      </c>
      <c r="D873" s="36"/>
      <c r="E873" s="37" t="s">
        <v>304</v>
      </c>
      <c r="F873" s="131">
        <f t="shared" si="169"/>
        <v>1368.8</v>
      </c>
      <c r="G873" s="131"/>
      <c r="H873" s="131">
        <f t="shared" si="169"/>
        <v>1368.8</v>
      </c>
      <c r="I873" s="131"/>
      <c r="J873" s="131">
        <f t="shared" si="169"/>
        <v>1368.8</v>
      </c>
      <c r="K873" s="131">
        <f t="shared" si="169"/>
        <v>1368.8</v>
      </c>
      <c r="L873" s="131"/>
      <c r="M873" s="131">
        <f t="shared" si="169"/>
        <v>1368.8</v>
      </c>
      <c r="N873" s="131">
        <f t="shared" si="169"/>
        <v>1368.8</v>
      </c>
      <c r="O873" s="131"/>
      <c r="P873" s="131">
        <f t="shared" si="169"/>
        <v>1368.8</v>
      </c>
    </row>
    <row r="874" spans="1:22" ht="27" x14ac:dyDescent="0.3">
      <c r="A874" s="81"/>
      <c r="B874" s="81"/>
      <c r="C874" s="7" t="s">
        <v>305</v>
      </c>
      <c r="D874" s="7"/>
      <c r="E874" s="3" t="s">
        <v>749</v>
      </c>
      <c r="F874" s="130">
        <f>1396.2-27.4</f>
        <v>1368.8</v>
      </c>
      <c r="G874" s="130"/>
      <c r="H874" s="130">
        <f>1396.2-27.4</f>
        <v>1368.8</v>
      </c>
      <c r="I874" s="130"/>
      <c r="J874" s="130">
        <f>1396.2-27.4</f>
        <v>1368.8</v>
      </c>
      <c r="K874" s="130">
        <f>1452-83.2</f>
        <v>1368.8</v>
      </c>
      <c r="L874" s="130"/>
      <c r="M874" s="130">
        <f>1452-83.2</f>
        <v>1368.8</v>
      </c>
      <c r="N874" s="130">
        <f>1510.1-141.3</f>
        <v>1368.8</v>
      </c>
      <c r="O874" s="130"/>
      <c r="P874" s="130">
        <f>1510.1-141.3</f>
        <v>1368.8</v>
      </c>
    </row>
    <row r="875" spans="1:22" ht="27" x14ac:dyDescent="0.3">
      <c r="A875" s="81"/>
      <c r="B875" s="81"/>
      <c r="C875" s="7"/>
      <c r="D875" s="7" t="s">
        <v>608</v>
      </c>
      <c r="E875" s="3" t="s">
        <v>609</v>
      </c>
      <c r="F875" s="130">
        <f>1396.2-27.4</f>
        <v>1368.8</v>
      </c>
      <c r="G875" s="130"/>
      <c r="H875" s="130">
        <f>1396.2-27.4</f>
        <v>1368.8</v>
      </c>
      <c r="I875" s="130"/>
      <c r="J875" s="130">
        <f>1396.2-27.4</f>
        <v>1368.8</v>
      </c>
      <c r="K875" s="130">
        <f>1452-83.2</f>
        <v>1368.8</v>
      </c>
      <c r="L875" s="130"/>
      <c r="M875" s="130">
        <f>1452-83.2</f>
        <v>1368.8</v>
      </c>
      <c r="N875" s="130">
        <f>1510.1-141.3</f>
        <v>1368.8</v>
      </c>
      <c r="O875" s="130"/>
      <c r="P875" s="130">
        <f>1510.1-141.3</f>
        <v>1368.8</v>
      </c>
    </row>
    <row r="876" spans="1:22" ht="14.45" x14ac:dyDescent="0.3">
      <c r="A876" s="83">
        <v>636</v>
      </c>
      <c r="B876" s="106"/>
      <c r="C876" s="107"/>
      <c r="D876" s="83"/>
      <c r="E876" s="84" t="s">
        <v>704</v>
      </c>
      <c r="F876" s="152">
        <f t="shared" ref="F876:J878" si="170">F877</f>
        <v>2818.8</v>
      </c>
      <c r="G876" s="152">
        <f t="shared" si="170"/>
        <v>39.9</v>
      </c>
      <c r="H876" s="152">
        <f t="shared" si="170"/>
        <v>2924.8</v>
      </c>
      <c r="I876" s="152">
        <f t="shared" si="170"/>
        <v>0</v>
      </c>
      <c r="J876" s="152">
        <f t="shared" si="170"/>
        <v>2924.8</v>
      </c>
      <c r="K876" s="152">
        <f t="shared" ref="K876:P878" si="171">K877</f>
        <v>2987.8</v>
      </c>
      <c r="L876" s="152">
        <f t="shared" si="171"/>
        <v>0</v>
      </c>
      <c r="M876" s="152">
        <f t="shared" si="171"/>
        <v>2987.8</v>
      </c>
      <c r="N876" s="152">
        <f t="shared" si="171"/>
        <v>2987.8</v>
      </c>
      <c r="O876" s="152">
        <f t="shared" si="171"/>
        <v>0</v>
      </c>
      <c r="P876" s="152">
        <f t="shared" si="171"/>
        <v>2987.8</v>
      </c>
    </row>
    <row r="877" spans="1:22" ht="14.45" x14ac:dyDescent="0.3">
      <c r="A877" s="80"/>
      <c r="B877" s="18" t="s">
        <v>615</v>
      </c>
      <c r="C877" s="86"/>
      <c r="D877" s="85"/>
      <c r="E877" s="87" t="s">
        <v>752</v>
      </c>
      <c r="F877" s="137">
        <f t="shared" si="170"/>
        <v>2818.8</v>
      </c>
      <c r="G877" s="137">
        <f t="shared" si="170"/>
        <v>39.9</v>
      </c>
      <c r="H877" s="137">
        <f t="shared" si="170"/>
        <v>2924.8</v>
      </c>
      <c r="I877" s="137">
        <f t="shared" si="170"/>
        <v>0</v>
      </c>
      <c r="J877" s="137">
        <f t="shared" si="170"/>
        <v>2924.8</v>
      </c>
      <c r="K877" s="137">
        <f t="shared" si="171"/>
        <v>2987.8</v>
      </c>
      <c r="L877" s="137">
        <f t="shared" si="171"/>
        <v>0</v>
      </c>
      <c r="M877" s="137">
        <f t="shared" si="171"/>
        <v>2987.8</v>
      </c>
      <c r="N877" s="137">
        <f t="shared" si="171"/>
        <v>2987.8</v>
      </c>
      <c r="O877" s="137">
        <f t="shared" si="171"/>
        <v>0</v>
      </c>
      <c r="P877" s="137">
        <f t="shared" si="171"/>
        <v>2987.8</v>
      </c>
    </row>
    <row r="878" spans="1:22" ht="39.6" x14ac:dyDescent="0.3">
      <c r="A878" s="80"/>
      <c r="B878" s="18" t="s">
        <v>705</v>
      </c>
      <c r="C878" s="86"/>
      <c r="D878" s="18"/>
      <c r="E878" s="90" t="s">
        <v>706</v>
      </c>
      <c r="F878" s="137">
        <f t="shared" si="170"/>
        <v>2818.8</v>
      </c>
      <c r="G878" s="137">
        <f t="shared" si="170"/>
        <v>39.9</v>
      </c>
      <c r="H878" s="137">
        <f t="shared" si="170"/>
        <v>2924.8</v>
      </c>
      <c r="I878" s="137">
        <f t="shared" si="170"/>
        <v>0</v>
      </c>
      <c r="J878" s="137">
        <f t="shared" si="170"/>
        <v>2924.8</v>
      </c>
      <c r="K878" s="137">
        <f t="shared" si="171"/>
        <v>2987.8</v>
      </c>
      <c r="L878" s="137">
        <f t="shared" si="171"/>
        <v>0</v>
      </c>
      <c r="M878" s="137">
        <f t="shared" si="171"/>
        <v>2987.8</v>
      </c>
      <c r="N878" s="137">
        <f t="shared" si="171"/>
        <v>2987.8</v>
      </c>
      <c r="O878" s="137">
        <f t="shared" si="171"/>
        <v>0</v>
      </c>
      <c r="P878" s="137">
        <f t="shared" si="171"/>
        <v>2987.8</v>
      </c>
    </row>
    <row r="879" spans="1:22" ht="14.45" x14ac:dyDescent="0.3">
      <c r="A879" s="190"/>
      <c r="B879" s="191"/>
      <c r="C879" s="103" t="s">
        <v>620</v>
      </c>
      <c r="D879" s="102"/>
      <c r="E879" s="104" t="s">
        <v>621</v>
      </c>
      <c r="F879" s="192">
        <f t="shared" ref="F879:K879" si="172">F880+F888</f>
        <v>2818.8</v>
      </c>
      <c r="G879" s="192">
        <f t="shared" si="172"/>
        <v>39.9</v>
      </c>
      <c r="H879" s="192">
        <f t="shared" si="172"/>
        <v>2924.8</v>
      </c>
      <c r="I879" s="192">
        <f t="shared" si="172"/>
        <v>0</v>
      </c>
      <c r="J879" s="192">
        <f t="shared" si="172"/>
        <v>2924.8</v>
      </c>
      <c r="K879" s="192">
        <f t="shared" si="172"/>
        <v>2987.8</v>
      </c>
      <c r="L879" s="192">
        <f>L880+L888</f>
        <v>0</v>
      </c>
      <c r="M879" s="192">
        <f>M880+M888</f>
        <v>2987.8</v>
      </c>
      <c r="N879" s="192">
        <f>N880+N888</f>
        <v>2987.8</v>
      </c>
      <c r="O879" s="192">
        <f>O880+O888</f>
        <v>0</v>
      </c>
      <c r="P879" s="192">
        <f>P880+P888</f>
        <v>2987.8</v>
      </c>
    </row>
    <row r="880" spans="1:22" s="44" customFormat="1" ht="27" x14ac:dyDescent="0.3">
      <c r="A880" s="128"/>
      <c r="B880" s="128"/>
      <c r="C880" s="182" t="s">
        <v>502</v>
      </c>
      <c r="D880" s="73"/>
      <c r="E880" s="74" t="s">
        <v>503</v>
      </c>
      <c r="F880" s="153">
        <f>F881+F883+F886</f>
        <v>2718.8</v>
      </c>
      <c r="G880" s="153">
        <f>G881+G883+G886</f>
        <v>39.9</v>
      </c>
      <c r="H880" s="153">
        <f>H881+H883+H886</f>
        <v>2804.8</v>
      </c>
      <c r="I880" s="153">
        <f>I881+I883+I886</f>
        <v>0</v>
      </c>
      <c r="J880" s="153">
        <f>J881+J883+J886</f>
        <v>2804.8</v>
      </c>
      <c r="K880" s="153">
        <f t="shared" ref="K880:P880" si="173">K881+K883</f>
        <v>2887.8</v>
      </c>
      <c r="L880" s="153">
        <f t="shared" si="173"/>
        <v>0</v>
      </c>
      <c r="M880" s="153">
        <f t="shared" si="173"/>
        <v>2887.8</v>
      </c>
      <c r="N880" s="153">
        <f t="shared" si="173"/>
        <v>2887.8</v>
      </c>
      <c r="O880" s="153">
        <f t="shared" si="173"/>
        <v>0</v>
      </c>
      <c r="P880" s="153">
        <f t="shared" si="173"/>
        <v>2887.8</v>
      </c>
    </row>
    <row r="881" spans="1:16" ht="27" x14ac:dyDescent="0.3">
      <c r="A881" s="81"/>
      <c r="B881" s="81"/>
      <c r="C881" s="7" t="s">
        <v>504</v>
      </c>
      <c r="D881" s="7"/>
      <c r="E881" s="3" t="s">
        <v>767</v>
      </c>
      <c r="F881" s="130">
        <v>1164</v>
      </c>
      <c r="G881" s="130"/>
      <c r="H881" s="130">
        <v>1164</v>
      </c>
      <c r="I881" s="130"/>
      <c r="J881" s="130">
        <v>1164</v>
      </c>
      <c r="K881" s="130">
        <v>1164</v>
      </c>
      <c r="L881" s="130"/>
      <c r="M881" s="130">
        <v>1164</v>
      </c>
      <c r="N881" s="130">
        <v>1164</v>
      </c>
      <c r="O881" s="130"/>
      <c r="P881" s="130">
        <v>1164</v>
      </c>
    </row>
    <row r="882" spans="1:16" ht="40.15" x14ac:dyDescent="0.3">
      <c r="A882" s="81"/>
      <c r="B882" s="81"/>
      <c r="C882" s="7"/>
      <c r="D882" s="7" t="s">
        <v>505</v>
      </c>
      <c r="E882" s="3" t="s">
        <v>506</v>
      </c>
      <c r="F882" s="130">
        <v>1164</v>
      </c>
      <c r="G882" s="146"/>
      <c r="H882" s="146">
        <v>1164</v>
      </c>
      <c r="I882" s="146"/>
      <c r="J882" s="146">
        <v>1164</v>
      </c>
      <c r="K882" s="146">
        <v>1164</v>
      </c>
      <c r="L882" s="146"/>
      <c r="M882" s="146">
        <v>1164</v>
      </c>
      <c r="N882" s="146">
        <v>1164</v>
      </c>
      <c r="O882" s="146"/>
      <c r="P882" s="146">
        <v>1164</v>
      </c>
    </row>
    <row r="883" spans="1:16" ht="27" x14ac:dyDescent="0.3">
      <c r="A883" s="81"/>
      <c r="B883" s="81"/>
      <c r="C883" s="7" t="s">
        <v>507</v>
      </c>
      <c r="D883" s="7"/>
      <c r="E883" s="3" t="s">
        <v>508</v>
      </c>
      <c r="F883" s="130">
        <f t="shared" ref="F883:K883" si="174">F884+F885</f>
        <v>1539.8</v>
      </c>
      <c r="G883" s="146">
        <f t="shared" si="174"/>
        <v>39.9</v>
      </c>
      <c r="H883" s="146">
        <f t="shared" si="174"/>
        <v>1625.8</v>
      </c>
      <c r="I883" s="146">
        <f t="shared" si="174"/>
        <v>0</v>
      </c>
      <c r="J883" s="146">
        <f t="shared" si="174"/>
        <v>1625.8</v>
      </c>
      <c r="K883" s="146">
        <f t="shared" si="174"/>
        <v>1723.8000000000002</v>
      </c>
      <c r="L883" s="146">
        <f>L884</f>
        <v>0</v>
      </c>
      <c r="M883" s="146">
        <f>M884+M885</f>
        <v>1723.8000000000002</v>
      </c>
      <c r="N883" s="146">
        <f>N884+N885</f>
        <v>1723.8000000000002</v>
      </c>
      <c r="O883" s="146">
        <f>O884</f>
        <v>0</v>
      </c>
      <c r="P883" s="146">
        <f>P884+P885</f>
        <v>1723.8000000000002</v>
      </c>
    </row>
    <row r="884" spans="1:16" ht="40.15" x14ac:dyDescent="0.3">
      <c r="A884" s="81"/>
      <c r="B884" s="81"/>
      <c r="C884" s="7"/>
      <c r="D884" s="7" t="s">
        <v>505</v>
      </c>
      <c r="E884" s="3" t="s">
        <v>506</v>
      </c>
      <c r="F884" s="130">
        <v>1490.5</v>
      </c>
      <c r="G884" s="146">
        <v>39.9</v>
      </c>
      <c r="H884" s="146">
        <v>1576.5</v>
      </c>
      <c r="I884" s="130"/>
      <c r="J884" s="146">
        <f>SUM(H884:I884)</f>
        <v>1576.5</v>
      </c>
      <c r="K884" s="146">
        <v>1674.5000000000002</v>
      </c>
      <c r="L884" s="130"/>
      <c r="M884" s="146">
        <f>SUM(K884:L884)</f>
        <v>1674.5000000000002</v>
      </c>
      <c r="N884" s="146">
        <v>1674.5000000000002</v>
      </c>
      <c r="O884" s="130"/>
      <c r="P884" s="146">
        <f>SUM(N884:O884)</f>
        <v>1674.5000000000002</v>
      </c>
    </row>
    <row r="885" spans="1:16" ht="27" x14ac:dyDescent="0.3">
      <c r="A885" s="81"/>
      <c r="B885" s="81"/>
      <c r="C885" s="7"/>
      <c r="D885" s="7" t="s">
        <v>336</v>
      </c>
      <c r="E885" s="3" t="s">
        <v>337</v>
      </c>
      <c r="F885" s="130">
        <f>63-13.7</f>
        <v>49.3</v>
      </c>
      <c r="G885" s="130"/>
      <c r="H885" s="130">
        <f>63-13.7</f>
        <v>49.3</v>
      </c>
      <c r="I885" s="130"/>
      <c r="J885" s="130">
        <f>63-13.7</f>
        <v>49.3</v>
      </c>
      <c r="K885" s="130">
        <f>63-13.7</f>
        <v>49.3</v>
      </c>
      <c r="L885" s="130"/>
      <c r="M885" s="130">
        <f>63-13.7</f>
        <v>49.3</v>
      </c>
      <c r="N885" s="130">
        <f>63-13.7</f>
        <v>49.3</v>
      </c>
      <c r="O885" s="130"/>
      <c r="P885" s="130">
        <f>63-13.7</f>
        <v>49.3</v>
      </c>
    </row>
    <row r="886" spans="1:16" ht="39" x14ac:dyDescent="0.25">
      <c r="A886" s="81"/>
      <c r="B886" s="81"/>
      <c r="C886" s="7" t="s">
        <v>764</v>
      </c>
      <c r="D886" s="7"/>
      <c r="E886" s="3" t="s">
        <v>765</v>
      </c>
      <c r="F886" s="130">
        <v>15</v>
      </c>
      <c r="G886" s="130"/>
      <c r="H886" s="130">
        <v>15</v>
      </c>
      <c r="I886" s="130"/>
      <c r="J886" s="130">
        <v>15</v>
      </c>
      <c r="K886" s="130"/>
      <c r="L886" s="130"/>
      <c r="M886" s="130">
        <v>0</v>
      </c>
      <c r="N886" s="130"/>
      <c r="O886" s="130"/>
      <c r="P886" s="130">
        <v>0</v>
      </c>
    </row>
    <row r="887" spans="1:16" ht="26.25" x14ac:dyDescent="0.25">
      <c r="A887" s="81"/>
      <c r="B887" s="81"/>
      <c r="C887" s="7"/>
      <c r="D887" s="7" t="s">
        <v>336</v>
      </c>
      <c r="E887" s="3" t="s">
        <v>337</v>
      </c>
      <c r="F887" s="130">
        <v>15</v>
      </c>
      <c r="G887" s="130"/>
      <c r="H887" s="130">
        <v>15</v>
      </c>
      <c r="I887" s="130"/>
      <c r="J887" s="130">
        <v>15</v>
      </c>
      <c r="K887" s="130"/>
      <c r="L887" s="130"/>
      <c r="M887" s="130">
        <v>0</v>
      </c>
      <c r="N887" s="130"/>
      <c r="O887" s="130"/>
      <c r="P887" s="130">
        <v>0</v>
      </c>
    </row>
    <row r="888" spans="1:16" ht="39.6" x14ac:dyDescent="0.3">
      <c r="A888" s="128"/>
      <c r="B888" s="128"/>
      <c r="C888" s="182" t="s">
        <v>509</v>
      </c>
      <c r="D888" s="183"/>
      <c r="E888" s="189" t="s">
        <v>622</v>
      </c>
      <c r="F888" s="153">
        <f>F889</f>
        <v>100</v>
      </c>
      <c r="G888" s="153"/>
      <c r="H888" s="153">
        <f>H889+H891</f>
        <v>120</v>
      </c>
      <c r="I888" s="153">
        <f>I889+I891</f>
        <v>0</v>
      </c>
      <c r="J888" s="153">
        <f>J889+J891</f>
        <v>120</v>
      </c>
      <c r="K888" s="153">
        <f t="shared" ref="H888:P889" si="175">K889</f>
        <v>100</v>
      </c>
      <c r="L888" s="153"/>
      <c r="M888" s="153">
        <f t="shared" si="175"/>
        <v>100</v>
      </c>
      <c r="N888" s="153">
        <f t="shared" si="175"/>
        <v>100</v>
      </c>
      <c r="O888" s="153"/>
      <c r="P888" s="153">
        <f t="shared" si="175"/>
        <v>100</v>
      </c>
    </row>
    <row r="889" spans="1:16" ht="27" x14ac:dyDescent="0.3">
      <c r="A889" s="81"/>
      <c r="B889" s="81"/>
      <c r="C889" s="7" t="s">
        <v>536</v>
      </c>
      <c r="D889" s="7"/>
      <c r="E889" s="3" t="s">
        <v>537</v>
      </c>
      <c r="F889" s="130">
        <f>F890</f>
        <v>100</v>
      </c>
      <c r="G889" s="130"/>
      <c r="H889" s="130">
        <f t="shared" si="175"/>
        <v>100</v>
      </c>
      <c r="I889" s="130"/>
      <c r="J889" s="130">
        <f t="shared" si="175"/>
        <v>100</v>
      </c>
      <c r="K889" s="130">
        <f t="shared" si="175"/>
        <v>100</v>
      </c>
      <c r="L889" s="130"/>
      <c r="M889" s="130">
        <f t="shared" si="175"/>
        <v>100</v>
      </c>
      <c r="N889" s="130">
        <f t="shared" si="175"/>
        <v>100</v>
      </c>
      <c r="O889" s="130"/>
      <c r="P889" s="130">
        <f t="shared" si="175"/>
        <v>100</v>
      </c>
    </row>
    <row r="890" spans="1:16" ht="27" x14ac:dyDescent="0.3">
      <c r="A890" s="81"/>
      <c r="B890" s="81"/>
      <c r="C890" s="7"/>
      <c r="D890" s="7" t="s">
        <v>336</v>
      </c>
      <c r="E890" s="3" t="s">
        <v>337</v>
      </c>
      <c r="F890" s="130">
        <v>100</v>
      </c>
      <c r="G890" s="130"/>
      <c r="H890" s="130">
        <v>100</v>
      </c>
      <c r="I890" s="130"/>
      <c r="J890" s="130">
        <v>100</v>
      </c>
      <c r="K890" s="130">
        <v>100</v>
      </c>
      <c r="L890" s="130"/>
      <c r="M890" s="130">
        <v>100</v>
      </c>
      <c r="N890" s="130">
        <v>100</v>
      </c>
      <c r="O890" s="130"/>
      <c r="P890" s="130">
        <v>100</v>
      </c>
    </row>
    <row r="891" spans="1:16" ht="25.5" x14ac:dyDescent="0.25">
      <c r="A891" s="81"/>
      <c r="B891" s="81"/>
      <c r="C891" s="7" t="s">
        <v>526</v>
      </c>
      <c r="D891" s="17"/>
      <c r="E891" s="1" t="s">
        <v>527</v>
      </c>
      <c r="F891" s="130"/>
      <c r="G891" s="130"/>
      <c r="H891" s="130">
        <f>H892</f>
        <v>20</v>
      </c>
      <c r="I891" s="130"/>
      <c r="J891" s="130">
        <f>J892</f>
        <v>20</v>
      </c>
      <c r="K891" s="130"/>
      <c r="L891" s="130"/>
      <c r="M891" s="130">
        <v>0</v>
      </c>
      <c r="N891" s="130"/>
      <c r="O891" s="130"/>
      <c r="P891" s="130">
        <v>0</v>
      </c>
    </row>
    <row r="892" spans="1:16" x14ac:dyDescent="0.25">
      <c r="A892" s="81"/>
      <c r="B892" s="81"/>
      <c r="C892" s="7"/>
      <c r="D892" s="17" t="s">
        <v>513</v>
      </c>
      <c r="E892" s="1" t="s">
        <v>514</v>
      </c>
      <c r="F892" s="130"/>
      <c r="G892" s="130"/>
      <c r="H892" s="130">
        <v>20</v>
      </c>
      <c r="I892" s="130"/>
      <c r="J892" s="130">
        <v>20</v>
      </c>
      <c r="K892" s="130"/>
      <c r="L892" s="130"/>
      <c r="M892" s="130">
        <v>0</v>
      </c>
      <c r="N892" s="130"/>
      <c r="O892" s="130"/>
      <c r="P892" s="130">
        <v>0</v>
      </c>
    </row>
    <row r="893" spans="1:16" ht="26.45" x14ac:dyDescent="0.3">
      <c r="A893" s="83">
        <v>651</v>
      </c>
      <c r="B893" s="106"/>
      <c r="C893" s="107"/>
      <c r="D893" s="83"/>
      <c r="E893" s="84" t="s">
        <v>707</v>
      </c>
      <c r="F893" s="152">
        <f t="shared" ref="F893:P893" si="176">F894</f>
        <v>32073.800000000003</v>
      </c>
      <c r="G893" s="152">
        <f t="shared" si="176"/>
        <v>-372.4</v>
      </c>
      <c r="H893" s="152">
        <f t="shared" si="176"/>
        <v>33647.899999999994</v>
      </c>
      <c r="I893" s="152">
        <f t="shared" si="176"/>
        <v>247.19033000000002</v>
      </c>
      <c r="J893" s="152">
        <f t="shared" si="176"/>
        <v>33895.090329999999</v>
      </c>
      <c r="K893" s="152">
        <f t="shared" si="176"/>
        <v>34650.699999999997</v>
      </c>
      <c r="L893" s="152">
        <f t="shared" si="176"/>
        <v>0</v>
      </c>
      <c r="M893" s="152">
        <f t="shared" si="176"/>
        <v>34650.699999999997</v>
      </c>
      <c r="N893" s="152">
        <f t="shared" si="176"/>
        <v>34918.300000000003</v>
      </c>
      <c r="O893" s="152">
        <f t="shared" si="176"/>
        <v>0</v>
      </c>
      <c r="P893" s="152">
        <f t="shared" si="176"/>
        <v>34918.300000000003</v>
      </c>
    </row>
    <row r="894" spans="1:16" ht="14.45" x14ac:dyDescent="0.3">
      <c r="A894" s="80"/>
      <c r="B894" s="18" t="s">
        <v>615</v>
      </c>
      <c r="C894" s="86"/>
      <c r="D894" s="85"/>
      <c r="E894" s="87" t="s">
        <v>752</v>
      </c>
      <c r="F894" s="137">
        <f t="shared" ref="F894:O894" si="177">F895+F903+F908</f>
        <v>32073.800000000003</v>
      </c>
      <c r="G894" s="137">
        <f t="shared" si="177"/>
        <v>-372.4</v>
      </c>
      <c r="H894" s="137">
        <f t="shared" si="177"/>
        <v>33647.899999999994</v>
      </c>
      <c r="I894" s="137">
        <f t="shared" si="177"/>
        <v>247.19033000000002</v>
      </c>
      <c r="J894" s="137">
        <f t="shared" si="177"/>
        <v>33895.090329999999</v>
      </c>
      <c r="K894" s="137">
        <f t="shared" si="177"/>
        <v>34650.699999999997</v>
      </c>
      <c r="L894" s="137">
        <f t="shared" si="177"/>
        <v>0</v>
      </c>
      <c r="M894" s="137">
        <f t="shared" si="177"/>
        <v>34650.699999999997</v>
      </c>
      <c r="N894" s="137">
        <f t="shared" si="177"/>
        <v>34918.300000000003</v>
      </c>
      <c r="O894" s="137">
        <f t="shared" si="177"/>
        <v>0</v>
      </c>
      <c r="P894" s="137">
        <f>P895+P903+P908</f>
        <v>34918.300000000003</v>
      </c>
    </row>
    <row r="895" spans="1:16" ht="26.45" x14ac:dyDescent="0.3">
      <c r="A895" s="80"/>
      <c r="B895" s="18" t="s">
        <v>708</v>
      </c>
      <c r="C895" s="86"/>
      <c r="D895" s="85"/>
      <c r="E895" s="87" t="s">
        <v>709</v>
      </c>
      <c r="F895" s="137">
        <f>F896</f>
        <v>7979.6</v>
      </c>
      <c r="G895" s="137">
        <f>G897</f>
        <v>-372.4</v>
      </c>
      <c r="H895" s="137">
        <f t="shared" ref="H895:P895" si="178">H896</f>
        <v>7814.8</v>
      </c>
      <c r="I895" s="137">
        <f t="shared" si="178"/>
        <v>0</v>
      </c>
      <c r="J895" s="137">
        <f t="shared" si="178"/>
        <v>7814.8</v>
      </c>
      <c r="K895" s="137">
        <f t="shared" si="178"/>
        <v>7805.8</v>
      </c>
      <c r="L895" s="137">
        <f t="shared" si="178"/>
        <v>0</v>
      </c>
      <c r="M895" s="137">
        <f t="shared" si="178"/>
        <v>7805.8</v>
      </c>
      <c r="N895" s="137">
        <f t="shared" si="178"/>
        <v>8073.2</v>
      </c>
      <c r="O895" s="137">
        <f t="shared" si="178"/>
        <v>0</v>
      </c>
      <c r="P895" s="137">
        <f t="shared" si="178"/>
        <v>8073.2</v>
      </c>
    </row>
    <row r="896" spans="1:16" ht="26.45" x14ac:dyDescent="0.3">
      <c r="A896" s="80"/>
      <c r="B896" s="18"/>
      <c r="C896" s="86" t="s">
        <v>6</v>
      </c>
      <c r="D896" s="85"/>
      <c r="E896" s="87" t="s">
        <v>7</v>
      </c>
      <c r="F896" s="137">
        <f>F898</f>
        <v>7979.6</v>
      </c>
      <c r="G896" s="137"/>
      <c r="H896" s="137">
        <f t="shared" ref="H896:P896" si="179">H898</f>
        <v>7814.8</v>
      </c>
      <c r="I896" s="137">
        <f t="shared" si="179"/>
        <v>0</v>
      </c>
      <c r="J896" s="137">
        <f t="shared" si="179"/>
        <v>7814.8</v>
      </c>
      <c r="K896" s="137">
        <f t="shared" si="179"/>
        <v>7805.8</v>
      </c>
      <c r="L896" s="137">
        <f t="shared" si="179"/>
        <v>0</v>
      </c>
      <c r="M896" s="137">
        <f t="shared" si="179"/>
        <v>7805.8</v>
      </c>
      <c r="N896" s="137">
        <f t="shared" si="179"/>
        <v>8073.2</v>
      </c>
      <c r="O896" s="137">
        <f t="shared" si="179"/>
        <v>0</v>
      </c>
      <c r="P896" s="137">
        <f t="shared" si="179"/>
        <v>8073.2</v>
      </c>
    </row>
    <row r="897" spans="1:18" ht="39.6" x14ac:dyDescent="0.3">
      <c r="A897" s="108"/>
      <c r="B897" s="94"/>
      <c r="C897" s="95" t="s">
        <v>8</v>
      </c>
      <c r="D897" s="94"/>
      <c r="E897" s="96" t="s">
        <v>9</v>
      </c>
      <c r="F897" s="138">
        <f t="shared" ref="F897:J899" si="180">F898</f>
        <v>7979.6</v>
      </c>
      <c r="G897" s="138">
        <f t="shared" si="180"/>
        <v>-372.4</v>
      </c>
      <c r="H897" s="138">
        <f t="shared" si="180"/>
        <v>7814.8</v>
      </c>
      <c r="I897" s="138">
        <f t="shared" si="180"/>
        <v>0</v>
      </c>
      <c r="J897" s="138">
        <f t="shared" si="180"/>
        <v>7814.8</v>
      </c>
      <c r="K897" s="138">
        <f>K898</f>
        <v>7805.8</v>
      </c>
      <c r="L897" s="138">
        <f>L898</f>
        <v>0</v>
      </c>
      <c r="M897" s="138">
        <f>M898</f>
        <v>7805.8</v>
      </c>
      <c r="N897" s="138">
        <f>N898</f>
        <v>8073.2</v>
      </c>
      <c r="O897" s="138">
        <f>O898</f>
        <v>0</v>
      </c>
      <c r="P897" s="138">
        <f t="shared" ref="K897:P899" si="181">P898</f>
        <v>8073.2</v>
      </c>
    </row>
    <row r="898" spans="1:18" ht="40.15" x14ac:dyDescent="0.3">
      <c r="A898" s="34"/>
      <c r="B898" s="34"/>
      <c r="C898" s="34" t="s">
        <v>25</v>
      </c>
      <c r="D898" s="34"/>
      <c r="E898" s="38" t="s">
        <v>26</v>
      </c>
      <c r="F898" s="139">
        <f t="shared" si="180"/>
        <v>7979.6</v>
      </c>
      <c r="G898" s="139">
        <f t="shared" si="180"/>
        <v>-372.4</v>
      </c>
      <c r="H898" s="139">
        <f t="shared" si="180"/>
        <v>7814.8</v>
      </c>
      <c r="I898" s="139">
        <f t="shared" si="180"/>
        <v>0</v>
      </c>
      <c r="J898" s="139">
        <f t="shared" si="180"/>
        <v>7814.8</v>
      </c>
      <c r="K898" s="139">
        <f>K899</f>
        <v>7805.8</v>
      </c>
      <c r="L898" s="139">
        <f>L899</f>
        <v>0</v>
      </c>
      <c r="M898" s="139">
        <f t="shared" si="181"/>
        <v>7805.8</v>
      </c>
      <c r="N898" s="139">
        <f t="shared" si="181"/>
        <v>8073.2</v>
      </c>
      <c r="O898" s="139">
        <f t="shared" si="181"/>
        <v>0</v>
      </c>
      <c r="P898" s="139">
        <f t="shared" si="181"/>
        <v>8073.2</v>
      </c>
      <c r="R898" s="45"/>
    </row>
    <row r="899" spans="1:18" ht="40.15" x14ac:dyDescent="0.3">
      <c r="A899" s="36"/>
      <c r="B899" s="36"/>
      <c r="C899" s="36" t="s">
        <v>27</v>
      </c>
      <c r="D899" s="36"/>
      <c r="E899" s="37" t="s">
        <v>28</v>
      </c>
      <c r="F899" s="131">
        <f t="shared" si="180"/>
        <v>7979.6</v>
      </c>
      <c r="G899" s="131">
        <f t="shared" si="180"/>
        <v>-372.4</v>
      </c>
      <c r="H899" s="131">
        <f t="shared" si="180"/>
        <v>7814.8</v>
      </c>
      <c r="I899" s="131">
        <f t="shared" si="180"/>
        <v>0</v>
      </c>
      <c r="J899" s="131">
        <f t="shared" si="180"/>
        <v>7814.8</v>
      </c>
      <c r="K899" s="131">
        <f t="shared" si="181"/>
        <v>7805.8</v>
      </c>
      <c r="L899" s="131">
        <f t="shared" si="181"/>
        <v>0</v>
      </c>
      <c r="M899" s="131">
        <f t="shared" si="181"/>
        <v>7805.8</v>
      </c>
      <c r="N899" s="131">
        <f t="shared" si="181"/>
        <v>8073.2</v>
      </c>
      <c r="O899" s="131">
        <f t="shared" si="181"/>
        <v>0</v>
      </c>
      <c r="P899" s="131">
        <f t="shared" si="181"/>
        <v>8073.2</v>
      </c>
    </row>
    <row r="900" spans="1:18" ht="26.45" x14ac:dyDescent="0.3">
      <c r="A900" s="81"/>
      <c r="B900" s="81"/>
      <c r="C900" s="7" t="s">
        <v>31</v>
      </c>
      <c r="D900" s="7"/>
      <c r="E900" s="1" t="s">
        <v>32</v>
      </c>
      <c r="F900" s="130">
        <f>F901+F902</f>
        <v>7979.6</v>
      </c>
      <c r="G900" s="130">
        <f>G901+G902</f>
        <v>-372.4</v>
      </c>
      <c r="H900" s="130">
        <f>H901+H902</f>
        <v>7814.8</v>
      </c>
      <c r="I900" s="130">
        <f>I901</f>
        <v>0</v>
      </c>
      <c r="J900" s="130">
        <f>J901+J902</f>
        <v>7814.8</v>
      </c>
      <c r="K900" s="130">
        <f>K901+K902</f>
        <v>7805.8</v>
      </c>
      <c r="L900" s="130">
        <f>L901+L902</f>
        <v>0</v>
      </c>
      <c r="M900" s="130">
        <f>M901+M902</f>
        <v>7805.8</v>
      </c>
      <c r="N900" s="130">
        <f>N901+N902</f>
        <v>8073.2</v>
      </c>
      <c r="O900" s="130">
        <f>O901</f>
        <v>0</v>
      </c>
      <c r="P900" s="130">
        <f>P901+P902</f>
        <v>8073.2</v>
      </c>
    </row>
    <row r="901" spans="1:18" ht="40.15" x14ac:dyDescent="0.3">
      <c r="A901" s="81"/>
      <c r="B901" s="81"/>
      <c r="C901" s="7"/>
      <c r="D901" s="7" t="s">
        <v>505</v>
      </c>
      <c r="E901" s="3" t="s">
        <v>506</v>
      </c>
      <c r="F901" s="130">
        <v>7420.3</v>
      </c>
      <c r="G901" s="130">
        <v>-354</v>
      </c>
      <c r="H901" s="130">
        <v>7273.9000000000005</v>
      </c>
      <c r="I901" s="130"/>
      <c r="J901" s="130">
        <f>H901+I901</f>
        <v>7273.9000000000005</v>
      </c>
      <c r="K901" s="130">
        <v>7538.5</v>
      </c>
      <c r="L901" s="130"/>
      <c r="M901" s="130">
        <f>SUM(K901:L901)</f>
        <v>7538.5</v>
      </c>
      <c r="N901" s="130">
        <v>7538.5</v>
      </c>
      <c r="O901" s="130"/>
      <c r="P901" s="130">
        <f>SUM(N901:O901)</f>
        <v>7538.5</v>
      </c>
    </row>
    <row r="902" spans="1:18" ht="27" x14ac:dyDescent="0.3">
      <c r="A902" s="81"/>
      <c r="B902" s="81"/>
      <c r="C902" s="7"/>
      <c r="D902" s="7" t="s">
        <v>336</v>
      </c>
      <c r="E902" s="3" t="s">
        <v>337</v>
      </c>
      <c r="F902" s="130">
        <v>559.29999999999995</v>
      </c>
      <c r="G902" s="130">
        <v>-18.399999999999999</v>
      </c>
      <c r="H902" s="130">
        <f>F902+G902</f>
        <v>540.9</v>
      </c>
      <c r="I902" s="130"/>
      <c r="J902" s="130">
        <f>H902+I902</f>
        <v>540.9</v>
      </c>
      <c r="K902" s="130">
        <v>267.29999999999995</v>
      </c>
      <c r="L902" s="130"/>
      <c r="M902" s="130">
        <f>559.3-24.6-267.4</f>
        <v>267.29999999999995</v>
      </c>
      <c r="N902" s="130">
        <f>559.3-24.6</f>
        <v>534.69999999999993</v>
      </c>
      <c r="O902" s="130"/>
      <c r="P902" s="130">
        <f>559.3-24.6</f>
        <v>534.69999999999993</v>
      </c>
    </row>
    <row r="903" spans="1:18" ht="14.45" x14ac:dyDescent="0.3">
      <c r="A903" s="81"/>
      <c r="B903" s="18" t="s">
        <v>710</v>
      </c>
      <c r="C903" s="86"/>
      <c r="D903" s="18"/>
      <c r="E903" s="90" t="s">
        <v>711</v>
      </c>
      <c r="F903" s="137">
        <f>F904</f>
        <v>484</v>
      </c>
      <c r="G903" s="137"/>
      <c r="H903" s="137">
        <f t="shared" ref="H903:J906" si="182">H904</f>
        <v>631</v>
      </c>
      <c r="I903" s="137">
        <f t="shared" si="182"/>
        <v>0</v>
      </c>
      <c r="J903" s="137">
        <f t="shared" si="182"/>
        <v>631</v>
      </c>
      <c r="K903" s="137">
        <f t="shared" ref="K903:P905" si="183">K904</f>
        <v>484</v>
      </c>
      <c r="L903" s="137"/>
      <c r="M903" s="137">
        <f t="shared" si="183"/>
        <v>484</v>
      </c>
      <c r="N903" s="137">
        <f t="shared" si="183"/>
        <v>484</v>
      </c>
      <c r="O903" s="137"/>
      <c r="P903" s="137">
        <f t="shared" si="183"/>
        <v>484</v>
      </c>
    </row>
    <row r="904" spans="1:18" s="44" customFormat="1" ht="14.45" x14ac:dyDescent="0.3">
      <c r="A904" s="193"/>
      <c r="B904" s="193"/>
      <c r="C904" s="194" t="s">
        <v>500</v>
      </c>
      <c r="D904" s="194"/>
      <c r="E904" s="195" t="s">
        <v>501</v>
      </c>
      <c r="F904" s="192">
        <f>F905</f>
        <v>484</v>
      </c>
      <c r="G904" s="192"/>
      <c r="H904" s="192">
        <f t="shared" si="182"/>
        <v>631</v>
      </c>
      <c r="I904" s="192">
        <f t="shared" si="182"/>
        <v>0</v>
      </c>
      <c r="J904" s="192">
        <f t="shared" si="182"/>
        <v>631</v>
      </c>
      <c r="K904" s="192">
        <f t="shared" si="183"/>
        <v>484</v>
      </c>
      <c r="L904" s="192"/>
      <c r="M904" s="192">
        <f t="shared" si="183"/>
        <v>484</v>
      </c>
      <c r="N904" s="192">
        <f t="shared" si="183"/>
        <v>484</v>
      </c>
      <c r="O904" s="192"/>
      <c r="P904" s="192">
        <f t="shared" si="183"/>
        <v>484</v>
      </c>
    </row>
    <row r="905" spans="1:18" s="44" customFormat="1" ht="40.15" x14ac:dyDescent="0.3">
      <c r="A905" s="128"/>
      <c r="B905" s="128"/>
      <c r="C905" s="72" t="s">
        <v>509</v>
      </c>
      <c r="D905" s="72"/>
      <c r="E905" s="74" t="s">
        <v>510</v>
      </c>
      <c r="F905" s="153">
        <f>F906</f>
        <v>484</v>
      </c>
      <c r="G905" s="153"/>
      <c r="H905" s="153">
        <f t="shared" si="182"/>
        <v>631</v>
      </c>
      <c r="I905" s="153">
        <f t="shared" si="182"/>
        <v>0</v>
      </c>
      <c r="J905" s="153">
        <f t="shared" si="182"/>
        <v>631</v>
      </c>
      <c r="K905" s="153">
        <f t="shared" si="183"/>
        <v>484</v>
      </c>
      <c r="L905" s="153"/>
      <c r="M905" s="153">
        <f t="shared" si="183"/>
        <v>484</v>
      </c>
      <c r="N905" s="153">
        <f t="shared" si="183"/>
        <v>484</v>
      </c>
      <c r="O905" s="153"/>
      <c r="P905" s="153">
        <f t="shared" si="183"/>
        <v>484</v>
      </c>
    </row>
    <row r="906" spans="1:18" ht="27" x14ac:dyDescent="0.3">
      <c r="A906" s="81"/>
      <c r="B906" s="81"/>
      <c r="C906" s="7" t="s">
        <v>532</v>
      </c>
      <c r="D906" s="7"/>
      <c r="E906" s="3" t="s">
        <v>533</v>
      </c>
      <c r="F906" s="130">
        <f>F907</f>
        <v>484</v>
      </c>
      <c r="G906" s="130"/>
      <c r="H906" s="130">
        <f t="shared" si="182"/>
        <v>631</v>
      </c>
      <c r="I906" s="130">
        <f t="shared" si="182"/>
        <v>0</v>
      </c>
      <c r="J906" s="130">
        <f t="shared" si="182"/>
        <v>631</v>
      </c>
      <c r="K906" s="130">
        <f>K907</f>
        <v>484</v>
      </c>
      <c r="L906" s="130"/>
      <c r="M906" s="130">
        <f>M907</f>
        <v>484</v>
      </c>
      <c r="N906" s="130">
        <f>N907</f>
        <v>484</v>
      </c>
      <c r="O906" s="130"/>
      <c r="P906" s="130">
        <f>P907</f>
        <v>484</v>
      </c>
    </row>
    <row r="907" spans="1:18" ht="14.45" x14ac:dyDescent="0.3">
      <c r="A907" s="81"/>
      <c r="B907" s="81"/>
      <c r="C907" s="7"/>
      <c r="D907" s="7" t="s">
        <v>513</v>
      </c>
      <c r="E907" s="3" t="s">
        <v>514</v>
      </c>
      <c r="F907" s="130">
        <v>484</v>
      </c>
      <c r="G907" s="130"/>
      <c r="H907" s="130">
        <v>631</v>
      </c>
      <c r="I907" s="130"/>
      <c r="J907" s="130">
        <f>SUM(H907:I907)</f>
        <v>631</v>
      </c>
      <c r="K907" s="130">
        <v>484</v>
      </c>
      <c r="L907" s="130"/>
      <c r="M907" s="130">
        <v>484</v>
      </c>
      <c r="N907" s="130">
        <v>484</v>
      </c>
      <c r="O907" s="130"/>
      <c r="P907" s="130">
        <v>484</v>
      </c>
    </row>
    <row r="908" spans="1:18" ht="14.45" x14ac:dyDescent="0.3">
      <c r="A908" s="85"/>
      <c r="B908" s="18" t="s">
        <v>627</v>
      </c>
      <c r="C908" s="86"/>
      <c r="D908" s="85"/>
      <c r="E908" s="87" t="s">
        <v>628</v>
      </c>
      <c r="F908" s="157">
        <f t="shared" ref="F908:O908" si="184">F909+F945</f>
        <v>23610.2</v>
      </c>
      <c r="G908" s="157">
        <f t="shared" si="184"/>
        <v>0</v>
      </c>
      <c r="H908" s="157">
        <f t="shared" si="184"/>
        <v>25202.1</v>
      </c>
      <c r="I908" s="157">
        <f t="shared" si="184"/>
        <v>247.19033000000002</v>
      </c>
      <c r="J908" s="157">
        <f t="shared" si="184"/>
        <v>25449.29033</v>
      </c>
      <c r="K908" s="157">
        <f t="shared" si="184"/>
        <v>26360.9</v>
      </c>
      <c r="L908" s="157">
        <f t="shared" si="184"/>
        <v>0</v>
      </c>
      <c r="M908" s="157">
        <f t="shared" si="184"/>
        <v>26360.9</v>
      </c>
      <c r="N908" s="157">
        <f t="shared" si="184"/>
        <v>26361.1</v>
      </c>
      <c r="O908" s="157">
        <f t="shared" si="184"/>
        <v>0</v>
      </c>
      <c r="P908" s="157">
        <f>P909+P945</f>
        <v>26361.1</v>
      </c>
    </row>
    <row r="909" spans="1:18" ht="14.45" x14ac:dyDescent="0.3">
      <c r="A909" s="194"/>
      <c r="B909" s="194"/>
      <c r="C909" s="194" t="s">
        <v>500</v>
      </c>
      <c r="D909" s="194"/>
      <c r="E909" s="195" t="s">
        <v>501</v>
      </c>
      <c r="F909" s="192">
        <f t="shared" ref="F909:P909" si="185">F910</f>
        <v>23610.2</v>
      </c>
      <c r="G909" s="192">
        <f t="shared" si="185"/>
        <v>0</v>
      </c>
      <c r="H909" s="192">
        <f t="shared" si="185"/>
        <v>25202.1</v>
      </c>
      <c r="I909" s="192">
        <f t="shared" si="185"/>
        <v>247.19033000000002</v>
      </c>
      <c r="J909" s="192">
        <f t="shared" si="185"/>
        <v>25449.29033</v>
      </c>
      <c r="K909" s="192">
        <f t="shared" si="185"/>
        <v>26360.9</v>
      </c>
      <c r="L909" s="192">
        <f t="shared" si="185"/>
        <v>0</v>
      </c>
      <c r="M909" s="192">
        <f t="shared" si="185"/>
        <v>26360.9</v>
      </c>
      <c r="N909" s="192">
        <f t="shared" si="185"/>
        <v>26361.1</v>
      </c>
      <c r="O909" s="192">
        <f t="shared" si="185"/>
        <v>0</v>
      </c>
      <c r="P909" s="192">
        <f t="shared" si="185"/>
        <v>26361.1</v>
      </c>
    </row>
    <row r="910" spans="1:18" ht="40.15" x14ac:dyDescent="0.3">
      <c r="A910" s="72"/>
      <c r="B910" s="72"/>
      <c r="C910" s="72" t="s">
        <v>509</v>
      </c>
      <c r="D910" s="72"/>
      <c r="E910" s="74" t="s">
        <v>510</v>
      </c>
      <c r="F910" s="153">
        <f t="shared" ref="F910:O910" si="186">F911+F914+F916+F918</f>
        <v>23610.2</v>
      </c>
      <c r="G910" s="153">
        <f t="shared" si="186"/>
        <v>0</v>
      </c>
      <c r="H910" s="153">
        <f t="shared" si="186"/>
        <v>25202.1</v>
      </c>
      <c r="I910" s="153">
        <f>I911+I914+I916+I918+I920</f>
        <v>247.19033000000002</v>
      </c>
      <c r="J910" s="153">
        <f>J911+J914+J916+J918+J920</f>
        <v>25449.29033</v>
      </c>
      <c r="K910" s="153">
        <f t="shared" si="186"/>
        <v>26360.9</v>
      </c>
      <c r="L910" s="153">
        <f t="shared" si="186"/>
        <v>0</v>
      </c>
      <c r="M910" s="153">
        <f t="shared" si="186"/>
        <v>26360.9</v>
      </c>
      <c r="N910" s="153">
        <f t="shared" si="186"/>
        <v>26361.1</v>
      </c>
      <c r="O910" s="153">
        <f t="shared" si="186"/>
        <v>0</v>
      </c>
      <c r="P910" s="153">
        <f>P911+P914+P916+P918</f>
        <v>26361.1</v>
      </c>
    </row>
    <row r="911" spans="1:18" ht="27" x14ac:dyDescent="0.3">
      <c r="A911" s="81"/>
      <c r="B911" s="81"/>
      <c r="C911" s="7" t="s">
        <v>515</v>
      </c>
      <c r="D911" s="7"/>
      <c r="E911" s="9" t="s">
        <v>516</v>
      </c>
      <c r="F911" s="130">
        <f>F912+F913</f>
        <v>15066.1</v>
      </c>
      <c r="G911" s="130"/>
      <c r="H911" s="130">
        <f>H912+H913</f>
        <v>16658</v>
      </c>
      <c r="I911" s="130">
        <f>I912+I913</f>
        <v>0</v>
      </c>
      <c r="J911" s="130">
        <f>J912+J913</f>
        <v>16658</v>
      </c>
      <c r="K911" s="130">
        <f>K912+K913</f>
        <v>17858.400000000001</v>
      </c>
      <c r="L911" s="130">
        <f>L912</f>
        <v>0</v>
      </c>
      <c r="M911" s="130">
        <f>M912+M913</f>
        <v>17858.400000000001</v>
      </c>
      <c r="N911" s="130">
        <f>N912+N913</f>
        <v>17858.599999999999</v>
      </c>
      <c r="O911" s="130">
        <f>O912</f>
        <v>0</v>
      </c>
      <c r="P911" s="130">
        <f>P912+P913</f>
        <v>17858.599999999999</v>
      </c>
    </row>
    <row r="912" spans="1:18" ht="40.15" x14ac:dyDescent="0.3">
      <c r="A912" s="81"/>
      <c r="B912" s="81"/>
      <c r="C912" s="7"/>
      <c r="D912" s="7" t="s">
        <v>505</v>
      </c>
      <c r="E912" s="3" t="s">
        <v>506</v>
      </c>
      <c r="F912" s="154">
        <v>14080.7</v>
      </c>
      <c r="G912" s="154"/>
      <c r="H912" s="154">
        <v>15672.599999999999</v>
      </c>
      <c r="I912" s="154"/>
      <c r="J912" s="154">
        <f>SUM(H912:I912)</f>
        <v>15672.599999999999</v>
      </c>
      <c r="K912" s="154">
        <v>16894</v>
      </c>
      <c r="L912" s="154"/>
      <c r="M912" s="154">
        <f>SUM(K912:L912)</f>
        <v>16894</v>
      </c>
      <c r="N912" s="154">
        <v>16894</v>
      </c>
      <c r="O912" s="154"/>
      <c r="P912" s="154">
        <f>SUM(N912:O912)</f>
        <v>16894</v>
      </c>
    </row>
    <row r="913" spans="1:16" ht="27" x14ac:dyDescent="0.3">
      <c r="A913" s="81"/>
      <c r="B913" s="81"/>
      <c r="C913" s="7"/>
      <c r="D913" s="7" t="s">
        <v>336</v>
      </c>
      <c r="E913" s="3" t="s">
        <v>337</v>
      </c>
      <c r="F913" s="130">
        <v>985.4</v>
      </c>
      <c r="G913" s="130"/>
      <c r="H913" s="130">
        <v>985.4</v>
      </c>
      <c r="I913" s="130"/>
      <c r="J913" s="130">
        <v>985.4</v>
      </c>
      <c r="K913" s="130">
        <f>1064.4-100</f>
        <v>964.40000000000009</v>
      </c>
      <c r="L913" s="130"/>
      <c r="M913" s="130">
        <f>1064.4-100</f>
        <v>964.40000000000009</v>
      </c>
      <c r="N913" s="130">
        <f>1107-142.4</f>
        <v>964.6</v>
      </c>
      <c r="O913" s="130"/>
      <c r="P913" s="130">
        <f>1107-142.4</f>
        <v>964.6</v>
      </c>
    </row>
    <row r="914" spans="1:16" ht="40.15" x14ac:dyDescent="0.3">
      <c r="A914" s="81"/>
      <c r="B914" s="81"/>
      <c r="C914" s="7" t="s">
        <v>517</v>
      </c>
      <c r="D914" s="7"/>
      <c r="E914" s="3" t="s">
        <v>76</v>
      </c>
      <c r="F914" s="130">
        <f>F915</f>
        <v>153.6</v>
      </c>
      <c r="G914" s="130"/>
      <c r="H914" s="130">
        <f>H915</f>
        <v>153.6</v>
      </c>
      <c r="I914" s="130"/>
      <c r="J914" s="130">
        <f>J915</f>
        <v>153.6</v>
      </c>
      <c r="K914" s="130">
        <f>K915</f>
        <v>112</v>
      </c>
      <c r="L914" s="130"/>
      <c r="M914" s="130">
        <f>M915</f>
        <v>112</v>
      </c>
      <c r="N914" s="130">
        <f>N915</f>
        <v>112</v>
      </c>
      <c r="O914" s="130"/>
      <c r="P914" s="130">
        <f>P915</f>
        <v>112</v>
      </c>
    </row>
    <row r="915" spans="1:16" ht="40.15" x14ac:dyDescent="0.3">
      <c r="A915" s="81"/>
      <c r="B915" s="81"/>
      <c r="C915" s="7"/>
      <c r="D915" s="7" t="s">
        <v>505</v>
      </c>
      <c r="E915" s="3" t="s">
        <v>506</v>
      </c>
      <c r="F915" s="130">
        <v>153.6</v>
      </c>
      <c r="G915" s="130"/>
      <c r="H915" s="130">
        <v>153.6</v>
      </c>
      <c r="I915" s="130"/>
      <c r="J915" s="130">
        <v>153.6</v>
      </c>
      <c r="K915" s="130">
        <v>112</v>
      </c>
      <c r="L915" s="130"/>
      <c r="M915" s="130">
        <v>112</v>
      </c>
      <c r="N915" s="130">
        <v>112</v>
      </c>
      <c r="O915" s="130"/>
      <c r="P915" s="130">
        <v>112</v>
      </c>
    </row>
    <row r="916" spans="1:16" ht="26.45" x14ac:dyDescent="0.3">
      <c r="A916" s="81"/>
      <c r="B916" s="81"/>
      <c r="C916" s="7" t="s">
        <v>518</v>
      </c>
      <c r="D916" s="7"/>
      <c r="E916" s="1" t="s">
        <v>519</v>
      </c>
      <c r="F916" s="146">
        <f>F917</f>
        <v>0</v>
      </c>
      <c r="G916" s="146"/>
      <c r="H916" s="146">
        <f>H917</f>
        <v>0</v>
      </c>
      <c r="I916" s="146">
        <f>I917</f>
        <v>72.790329999999997</v>
      </c>
      <c r="J916" s="146">
        <f>J917</f>
        <v>72.790329999999997</v>
      </c>
      <c r="K916" s="146">
        <f>K917</f>
        <v>0</v>
      </c>
      <c r="L916" s="146"/>
      <c r="M916" s="146">
        <f>M917</f>
        <v>0</v>
      </c>
      <c r="N916" s="146">
        <f>N917</f>
        <v>0</v>
      </c>
      <c r="O916" s="146"/>
      <c r="P916" s="146">
        <f>P917</f>
        <v>0</v>
      </c>
    </row>
    <row r="917" spans="1:16" ht="40.15" x14ac:dyDescent="0.3">
      <c r="A917" s="81"/>
      <c r="B917" s="81"/>
      <c r="C917" s="7"/>
      <c r="D917" s="7" t="s">
        <v>505</v>
      </c>
      <c r="E917" s="3" t="s">
        <v>506</v>
      </c>
      <c r="F917" s="130">
        <v>0</v>
      </c>
      <c r="G917" s="130"/>
      <c r="H917" s="130">
        <v>0</v>
      </c>
      <c r="I917" s="130">
        <v>72.790329999999997</v>
      </c>
      <c r="J917" s="130">
        <f>SUM(H917:I917)</f>
        <v>72.790329999999997</v>
      </c>
      <c r="K917" s="130">
        <v>0</v>
      </c>
      <c r="L917" s="130"/>
      <c r="M917" s="130">
        <v>0</v>
      </c>
      <c r="N917" s="130">
        <v>0</v>
      </c>
      <c r="O917" s="130"/>
      <c r="P917" s="130">
        <v>0</v>
      </c>
    </row>
    <row r="918" spans="1:16" ht="53.45" x14ac:dyDescent="0.3">
      <c r="A918" s="81"/>
      <c r="B918" s="81"/>
      <c r="C918" s="7" t="s">
        <v>520</v>
      </c>
      <c r="D918" s="7"/>
      <c r="E918" s="3" t="s">
        <v>521</v>
      </c>
      <c r="F918" s="130">
        <f>F919</f>
        <v>8390.5</v>
      </c>
      <c r="G918" s="130"/>
      <c r="H918" s="130">
        <f>H919</f>
        <v>8390.5</v>
      </c>
      <c r="I918" s="130"/>
      <c r="J918" s="130">
        <f>J919</f>
        <v>8390.5</v>
      </c>
      <c r="K918" s="130">
        <f>K919</f>
        <v>8390.5</v>
      </c>
      <c r="L918" s="130"/>
      <c r="M918" s="130">
        <f>M919</f>
        <v>8390.5</v>
      </c>
      <c r="N918" s="130">
        <f>N919</f>
        <v>8390.5</v>
      </c>
      <c r="O918" s="130"/>
      <c r="P918" s="130">
        <f>P919</f>
        <v>8390.5</v>
      </c>
    </row>
    <row r="919" spans="1:16" ht="40.15" x14ac:dyDescent="0.3">
      <c r="A919" s="81"/>
      <c r="B919" s="81"/>
      <c r="C919" s="7"/>
      <c r="D919" s="7" t="s">
        <v>505</v>
      </c>
      <c r="E919" s="3" t="s">
        <v>506</v>
      </c>
      <c r="F919" s="130">
        <f>8339.3+51.2</f>
        <v>8390.5</v>
      </c>
      <c r="G919" s="130"/>
      <c r="H919" s="130">
        <f>SUM(F919:G919)</f>
        <v>8390.5</v>
      </c>
      <c r="I919" s="130"/>
      <c r="J919" s="130">
        <f>SUM(H919:I919)</f>
        <v>8390.5</v>
      </c>
      <c r="K919" s="130">
        <f>8339.3+51.2</f>
        <v>8390.5</v>
      </c>
      <c r="L919" s="130"/>
      <c r="M919" s="130">
        <f>8339.3+51.2</f>
        <v>8390.5</v>
      </c>
      <c r="N919" s="130">
        <f>8339.3+51.2</f>
        <v>8390.5</v>
      </c>
      <c r="O919" s="130"/>
      <c r="P919" s="130">
        <f>8339.3+51.2</f>
        <v>8390.5</v>
      </c>
    </row>
    <row r="920" spans="1:16" ht="64.5" x14ac:dyDescent="0.25">
      <c r="A920" s="81"/>
      <c r="B920" s="81"/>
      <c r="C920" s="7" t="s">
        <v>914</v>
      </c>
      <c r="D920" s="7"/>
      <c r="E920" s="3" t="s">
        <v>915</v>
      </c>
      <c r="F920" s="130"/>
      <c r="G920" s="130"/>
      <c r="H920" s="130"/>
      <c r="I920" s="130">
        <f>I921</f>
        <v>174.4</v>
      </c>
      <c r="J920" s="130">
        <f>J921</f>
        <v>174.4</v>
      </c>
      <c r="K920" s="130"/>
      <c r="L920" s="130"/>
      <c r="M920" s="130">
        <v>0</v>
      </c>
      <c r="N920" s="130"/>
      <c r="O920" s="130"/>
      <c r="P920" s="130">
        <v>0</v>
      </c>
    </row>
    <row r="921" spans="1:16" ht="51.75" x14ac:dyDescent="0.25">
      <c r="A921" s="81"/>
      <c r="B921" s="81"/>
      <c r="C921" s="7"/>
      <c r="D921" s="7" t="s">
        <v>505</v>
      </c>
      <c r="E921" s="3" t="s">
        <v>506</v>
      </c>
      <c r="F921" s="130"/>
      <c r="G921" s="130"/>
      <c r="H921" s="130"/>
      <c r="I921" s="130">
        <v>174.4</v>
      </c>
      <c r="J921" s="130">
        <v>174.4</v>
      </c>
      <c r="K921" s="130"/>
      <c r="L921" s="130"/>
      <c r="M921" s="130">
        <v>0</v>
      </c>
      <c r="N921" s="130"/>
      <c r="O921" s="130"/>
      <c r="P921" s="130">
        <v>0</v>
      </c>
    </row>
    <row r="922" spans="1:16" ht="14.45" x14ac:dyDescent="0.3">
      <c r="A922" s="75"/>
      <c r="B922" s="75"/>
      <c r="C922" s="75"/>
      <c r="D922" s="75"/>
      <c r="E922" s="71" t="s">
        <v>542</v>
      </c>
      <c r="F922" s="155">
        <f t="shared" ref="F922:M922" si="187">SUM(F893+F876+F741+F524+F8)</f>
        <v>874748.32700000005</v>
      </c>
      <c r="G922" s="155">
        <f t="shared" si="187"/>
        <v>13575.527040000001</v>
      </c>
      <c r="H922" s="155">
        <f t="shared" si="187"/>
        <v>894080.88796000008</v>
      </c>
      <c r="I922" s="155">
        <f t="shared" si="187"/>
        <v>-10590.93231</v>
      </c>
      <c r="J922" s="155">
        <f t="shared" si="187"/>
        <v>883489.9556499999</v>
      </c>
      <c r="K922" s="155">
        <f t="shared" si="187"/>
        <v>853897.95915000001</v>
      </c>
      <c r="L922" s="155">
        <f t="shared" si="187"/>
        <v>0</v>
      </c>
      <c r="M922" s="155">
        <f t="shared" si="187"/>
        <v>853992.35915000003</v>
      </c>
      <c r="N922" s="155">
        <f>SUM(N893+N876+N741+N524+N8)-0.06+0.1</f>
        <v>866584.45774999994</v>
      </c>
      <c r="O922" s="155">
        <f>SUM(O893+O876+O741+O524+O8)</f>
        <v>0</v>
      </c>
      <c r="P922" s="155">
        <f>SUM(P893+P876+P741+P524+P8)-0.06+0.1</f>
        <v>866682.25774999999</v>
      </c>
    </row>
    <row r="923" spans="1:16" ht="14.45" x14ac:dyDescent="0.3">
      <c r="H923" s="204"/>
    </row>
    <row r="924" spans="1:16" ht="14.45" x14ac:dyDescent="0.3">
      <c r="H924" s="204"/>
      <c r="K924" s="204"/>
      <c r="M924" s="206"/>
      <c r="N924" s="204"/>
      <c r="P924" s="206"/>
    </row>
  </sheetData>
  <autoFilter ref="A7:Y922"/>
  <mergeCells count="9">
    <mergeCell ref="J1:P1"/>
    <mergeCell ref="J2:P2"/>
    <mergeCell ref="J3:P3"/>
    <mergeCell ref="J4:P4"/>
    <mergeCell ref="V600:W600"/>
    <mergeCell ref="X600:Y600"/>
    <mergeCell ref="V558:W558"/>
    <mergeCell ref="X558:Y558"/>
    <mergeCell ref="A6:N6"/>
  </mergeCells>
  <pageMargins left="1.1023622047244095" right="0.31496062992125984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view="pageBreakPreview" topLeftCell="A25" zoomScale="60" zoomScaleNormal="70" workbookViewId="0">
      <selection activeCell="A6" sqref="A6:M6"/>
    </sheetView>
  </sheetViews>
  <sheetFormatPr defaultRowHeight="15" x14ac:dyDescent="0.25"/>
  <cols>
    <col min="1" max="1" width="8.7109375" customWidth="1"/>
    <col min="2" max="2" width="56.7109375" customWidth="1"/>
    <col min="3" max="3" width="15.7109375" customWidth="1"/>
    <col min="4" max="4" width="15.85546875" customWidth="1"/>
    <col min="5" max="5" width="18.85546875" customWidth="1"/>
    <col min="6" max="7" width="17" customWidth="1"/>
    <col min="8" max="8" width="17.85546875" customWidth="1"/>
    <col min="9" max="9" width="14.5703125" customWidth="1"/>
    <col min="10" max="11" width="17" customWidth="1"/>
    <col min="12" max="12" width="17.140625" customWidth="1"/>
    <col min="13" max="13" width="18.140625" customWidth="1"/>
    <col min="14" max="14" width="13.5703125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F1" s="116"/>
      <c r="G1" s="116"/>
      <c r="H1" s="116"/>
      <c r="I1" s="116"/>
      <c r="J1" s="116"/>
      <c r="K1" s="301" t="s">
        <v>839</v>
      </c>
      <c r="L1" s="301"/>
      <c r="M1" s="301"/>
    </row>
    <row r="2" spans="1:13" ht="15.75" x14ac:dyDescent="0.25">
      <c r="F2" s="116" t="s">
        <v>840</v>
      </c>
      <c r="G2" s="116"/>
      <c r="H2" s="116"/>
      <c r="I2" s="116"/>
      <c r="J2" s="116"/>
      <c r="K2" s="301" t="s">
        <v>715</v>
      </c>
      <c r="L2" s="301"/>
      <c r="M2" s="301"/>
    </row>
    <row r="3" spans="1:13" ht="15.75" x14ac:dyDescent="0.25">
      <c r="I3" s="116"/>
      <c r="J3" s="116"/>
      <c r="K3" s="301" t="s">
        <v>720</v>
      </c>
      <c r="L3" s="301"/>
      <c r="M3" s="301"/>
    </row>
    <row r="4" spans="1:13" ht="15.75" x14ac:dyDescent="0.25">
      <c r="I4" s="116"/>
      <c r="J4" s="116"/>
      <c r="K4" s="301" t="s">
        <v>921</v>
      </c>
      <c r="L4" s="301"/>
      <c r="M4" s="301"/>
    </row>
    <row r="6" spans="1:13" ht="16.899999999999999" customHeight="1" x14ac:dyDescent="0.25">
      <c r="A6" s="303" t="s">
        <v>841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</row>
    <row r="7" spans="1:13" ht="16.899999999999999" x14ac:dyDescent="0.3">
      <c r="A7" s="209"/>
      <c r="B7" s="209"/>
      <c r="C7" s="280"/>
      <c r="D7" s="280"/>
      <c r="E7" s="280"/>
      <c r="F7" s="280"/>
      <c r="G7" s="280"/>
      <c r="H7" s="280"/>
      <c r="I7" s="280"/>
      <c r="K7" s="280"/>
    </row>
    <row r="8" spans="1:13" ht="14.45" customHeight="1" x14ac:dyDescent="0.25">
      <c r="A8" s="302" t="s">
        <v>716</v>
      </c>
      <c r="B8" s="302" t="s">
        <v>842</v>
      </c>
      <c r="C8" s="302" t="s">
        <v>843</v>
      </c>
      <c r="D8" s="302"/>
      <c r="E8" s="302"/>
      <c r="F8" s="302"/>
      <c r="G8" s="302"/>
      <c r="H8" s="302"/>
      <c r="I8" s="302"/>
      <c r="J8" s="302"/>
      <c r="K8" s="302"/>
      <c r="L8" s="302"/>
      <c r="M8" s="302"/>
    </row>
    <row r="9" spans="1:13" ht="14.45" customHeight="1" x14ac:dyDescent="0.25">
      <c r="A9" s="302"/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</row>
    <row r="10" spans="1:13" ht="15.75" x14ac:dyDescent="0.25">
      <c r="A10" s="302"/>
      <c r="B10" s="302"/>
      <c r="C10" s="304" t="s">
        <v>3</v>
      </c>
      <c r="D10" s="306" t="s">
        <v>286</v>
      </c>
      <c r="E10" s="307"/>
      <c r="F10" s="304" t="s">
        <v>4</v>
      </c>
      <c r="G10" s="279"/>
      <c r="H10" s="210" t="s">
        <v>286</v>
      </c>
      <c r="I10" s="211"/>
      <c r="J10" s="304" t="s">
        <v>5</v>
      </c>
      <c r="K10" s="302" t="s">
        <v>286</v>
      </c>
      <c r="L10" s="302"/>
      <c r="M10" s="302"/>
    </row>
    <row r="11" spans="1:13" ht="47.25" x14ac:dyDescent="0.25">
      <c r="A11" s="302"/>
      <c r="B11" s="302"/>
      <c r="C11" s="305"/>
      <c r="D11" s="281" t="s">
        <v>717</v>
      </c>
      <c r="E11" s="281" t="s">
        <v>718</v>
      </c>
      <c r="F11" s="305"/>
      <c r="G11" s="281" t="s">
        <v>844</v>
      </c>
      <c r="H11" s="281" t="s">
        <v>717</v>
      </c>
      <c r="I11" s="281" t="s">
        <v>718</v>
      </c>
      <c r="J11" s="305"/>
      <c r="K11" s="281" t="s">
        <v>844</v>
      </c>
      <c r="L11" s="281" t="s">
        <v>717</v>
      </c>
      <c r="M11" s="281" t="s">
        <v>718</v>
      </c>
    </row>
    <row r="12" spans="1:13" ht="63" x14ac:dyDescent="0.25">
      <c r="A12" s="212" t="s">
        <v>845</v>
      </c>
      <c r="B12" s="213" t="s">
        <v>846</v>
      </c>
      <c r="C12" s="214">
        <f t="shared" ref="C12:M12" si="0">C13+C73</f>
        <v>49857.640960000004</v>
      </c>
      <c r="D12" s="214">
        <f t="shared" si="0"/>
        <v>7994.6409599999997</v>
      </c>
      <c r="E12" s="214">
        <f t="shared" si="0"/>
        <v>41863</v>
      </c>
      <c r="F12" s="214">
        <f t="shared" si="0"/>
        <v>97330.546149999995</v>
      </c>
      <c r="G12" s="214">
        <f t="shared" si="0"/>
        <v>39572.673840000003</v>
      </c>
      <c r="H12" s="214">
        <f t="shared" si="0"/>
        <v>28190.372309999999</v>
      </c>
      <c r="I12" s="214">
        <f t="shared" si="0"/>
        <v>29567.500000000004</v>
      </c>
      <c r="J12" s="214">
        <f t="shared" si="0"/>
        <v>110308.70174999999</v>
      </c>
      <c r="K12" s="214">
        <f t="shared" si="0"/>
        <v>47403.956680000003</v>
      </c>
      <c r="L12" s="214">
        <f t="shared" si="0"/>
        <v>28456.645070000002</v>
      </c>
      <c r="M12" s="214">
        <f t="shared" si="0"/>
        <v>34448.099999999991</v>
      </c>
    </row>
    <row r="13" spans="1:13" s="218" customFormat="1" ht="47.25" x14ac:dyDescent="0.25">
      <c r="A13" s="215" t="s">
        <v>847</v>
      </c>
      <c r="B13" s="216" t="s">
        <v>848</v>
      </c>
      <c r="C13" s="217">
        <f>C14+C19+C66+C16</f>
        <v>49087.017860000007</v>
      </c>
      <c r="D13" s="217">
        <f>D14+D19+D47+D66+D16</f>
        <v>7994.6409599999997</v>
      </c>
      <c r="E13" s="217">
        <f>E14+E19+E66+E16</f>
        <v>41092.376900000003</v>
      </c>
      <c r="F13" s="217">
        <f>F14+F19+F66+F16+F68</f>
        <v>96758.246149999992</v>
      </c>
      <c r="G13" s="217">
        <f>G68</f>
        <v>39572.673840000003</v>
      </c>
      <c r="H13" s="217">
        <f t="shared" ref="H13:M13" si="1">H14+H19+H66+H16+H68</f>
        <v>28190.372309999999</v>
      </c>
      <c r="I13" s="217">
        <f t="shared" si="1"/>
        <v>28995.200000000004</v>
      </c>
      <c r="J13" s="217">
        <f t="shared" si="1"/>
        <v>109713.50175</v>
      </c>
      <c r="K13" s="217">
        <f t="shared" si="1"/>
        <v>47403.956680000003</v>
      </c>
      <c r="L13" s="217">
        <f t="shared" si="1"/>
        <v>28456.645070000002</v>
      </c>
      <c r="M13" s="217">
        <f t="shared" si="1"/>
        <v>33852.899999999994</v>
      </c>
    </row>
    <row r="14" spans="1:13" s="222" customFormat="1" ht="31.5" x14ac:dyDescent="0.25">
      <c r="A14" s="219" t="s">
        <v>849</v>
      </c>
      <c r="B14" s="220" t="s">
        <v>850</v>
      </c>
      <c r="C14" s="221">
        <v>500</v>
      </c>
      <c r="D14" s="221">
        <v>0</v>
      </c>
      <c r="E14" s="221">
        <v>500</v>
      </c>
      <c r="F14" s="221">
        <f>F15</f>
        <v>310.67615000000001</v>
      </c>
      <c r="G14" s="221"/>
      <c r="H14" s="221">
        <v>0</v>
      </c>
      <c r="I14" s="221">
        <f>I15</f>
        <v>310.67615000000001</v>
      </c>
      <c r="J14" s="221">
        <f>J15</f>
        <v>290.05174999999997</v>
      </c>
      <c r="K14" s="221"/>
      <c r="L14" s="221">
        <v>0</v>
      </c>
      <c r="M14" s="221">
        <f>M15</f>
        <v>290.05174999999997</v>
      </c>
    </row>
    <row r="15" spans="1:13" s="226" customFormat="1" ht="31.5" x14ac:dyDescent="0.25">
      <c r="A15" s="223"/>
      <c r="B15" s="224" t="s">
        <v>851</v>
      </c>
      <c r="C15" s="225">
        <v>500</v>
      </c>
      <c r="D15" s="225">
        <v>0</v>
      </c>
      <c r="E15" s="225">
        <v>500</v>
      </c>
      <c r="F15" s="225">
        <f>I15</f>
        <v>310.67615000000001</v>
      </c>
      <c r="G15" s="225"/>
      <c r="H15" s="225">
        <v>0</v>
      </c>
      <c r="I15" s="225">
        <f>520-209.32385</f>
        <v>310.67615000000001</v>
      </c>
      <c r="J15" s="225">
        <f>M15</f>
        <v>290.05174999999997</v>
      </c>
      <c r="K15" s="225"/>
      <c r="L15" s="225">
        <v>0</v>
      </c>
      <c r="M15" s="225">
        <f>540.8-250.74825</f>
        <v>290.05174999999997</v>
      </c>
    </row>
    <row r="16" spans="1:13" s="222" customFormat="1" ht="31.5" x14ac:dyDescent="0.25">
      <c r="A16" s="219" t="s">
        <v>852</v>
      </c>
      <c r="B16" s="227" t="s">
        <v>853</v>
      </c>
      <c r="C16" s="221">
        <f>C17+C18</f>
        <v>4428.3</v>
      </c>
      <c r="D16" s="221">
        <f>D17</f>
        <v>0</v>
      </c>
      <c r="E16" s="221">
        <f>E17+E18</f>
        <v>4428.3</v>
      </c>
      <c r="F16" s="221">
        <f>F17</f>
        <v>0</v>
      </c>
      <c r="G16" s="221"/>
      <c r="H16" s="221">
        <f>H17</f>
        <v>0</v>
      </c>
      <c r="I16" s="221">
        <f>I17</f>
        <v>0</v>
      </c>
      <c r="J16" s="221">
        <f>J17</f>
        <v>0</v>
      </c>
      <c r="K16" s="221"/>
      <c r="L16" s="221">
        <f>L17</f>
        <v>0</v>
      </c>
      <c r="M16" s="221">
        <f>M17</f>
        <v>0</v>
      </c>
    </row>
    <row r="17" spans="1:14" s="222" customFormat="1" ht="63" x14ac:dyDescent="0.25">
      <c r="A17" s="223"/>
      <c r="B17" s="228" t="s">
        <v>854</v>
      </c>
      <c r="C17" s="225">
        <f>D17+E17</f>
        <v>3833.3</v>
      </c>
      <c r="D17" s="229">
        <v>0</v>
      </c>
      <c r="E17" s="229">
        <v>3833.3</v>
      </c>
      <c r="F17" s="229">
        <v>0</v>
      </c>
      <c r="G17" s="229"/>
      <c r="H17" s="229">
        <v>0</v>
      </c>
      <c r="I17" s="229">
        <v>0</v>
      </c>
      <c r="J17" s="229">
        <v>0</v>
      </c>
      <c r="K17" s="229"/>
      <c r="L17" s="229">
        <v>0</v>
      </c>
      <c r="M17" s="229">
        <v>0</v>
      </c>
    </row>
    <row r="18" spans="1:14" s="222" customFormat="1" ht="61.5" customHeight="1" x14ac:dyDescent="0.25">
      <c r="A18" s="223"/>
      <c r="B18" s="228" t="s">
        <v>771</v>
      </c>
      <c r="C18" s="225">
        <v>595</v>
      </c>
      <c r="D18" s="229">
        <v>0</v>
      </c>
      <c r="E18" s="229">
        <v>595</v>
      </c>
      <c r="F18" s="229"/>
      <c r="G18" s="229"/>
      <c r="H18" s="229"/>
      <c r="I18" s="229"/>
      <c r="J18" s="229"/>
      <c r="K18" s="229"/>
      <c r="L18" s="229"/>
      <c r="M18" s="229"/>
    </row>
    <row r="19" spans="1:14" s="222" customFormat="1" ht="31.5" x14ac:dyDescent="0.25">
      <c r="A19" s="219" t="s">
        <v>855</v>
      </c>
      <c r="B19" s="227" t="s">
        <v>856</v>
      </c>
      <c r="C19" s="221">
        <f>C20+C47+C64+C65+C39</f>
        <v>17931.417860000001</v>
      </c>
      <c r="D19" s="221">
        <f>D20+D47+D64+D65+D39</f>
        <v>7994.6409599999997</v>
      </c>
      <c r="E19" s="221">
        <f>E20+E47+E64+E65+E39</f>
        <v>9936.7768999999989</v>
      </c>
      <c r="F19" s="221">
        <f>F20+F47+F64+F65+F39</f>
        <v>32374.899999999994</v>
      </c>
      <c r="G19" s="221"/>
      <c r="H19" s="221">
        <f t="shared" ref="H19:M19" si="2">H20+H47+H64+H65+H39</f>
        <v>26107.599999999999</v>
      </c>
      <c r="I19" s="221">
        <f t="shared" si="2"/>
        <v>6267.3</v>
      </c>
      <c r="J19" s="221">
        <f t="shared" si="2"/>
        <v>29730.7</v>
      </c>
      <c r="K19" s="221">
        <f t="shared" si="2"/>
        <v>0</v>
      </c>
      <c r="L19" s="221">
        <f t="shared" si="2"/>
        <v>25961.7</v>
      </c>
      <c r="M19" s="221">
        <f t="shared" si="2"/>
        <v>3769</v>
      </c>
    </row>
    <row r="20" spans="1:14" s="233" customFormat="1" ht="15.75" x14ac:dyDescent="0.25">
      <c r="A20" s="230"/>
      <c r="B20" s="231" t="s">
        <v>857</v>
      </c>
      <c r="C20" s="232">
        <f>SUM(C22:C38)</f>
        <v>8882.9455199999993</v>
      </c>
      <c r="D20" s="232">
        <f>SUM(D22:D37)</f>
        <v>7994.6409599999997</v>
      </c>
      <c r="E20" s="232">
        <f>SUM(E22:E36)</f>
        <v>888.30456000000004</v>
      </c>
      <c r="F20" s="232">
        <f>SUM(F22:F38)</f>
        <v>29008.599999999995</v>
      </c>
      <c r="G20" s="232"/>
      <c r="H20" s="232">
        <f>SUM(H22:H38)</f>
        <v>26107.599999999999</v>
      </c>
      <c r="I20" s="232">
        <f>SUM(I22:I38)</f>
        <v>2901</v>
      </c>
      <c r="J20" s="232">
        <f>SUM(J22:J25)</f>
        <v>28846.3</v>
      </c>
      <c r="K20" s="232"/>
      <c r="L20" s="232">
        <f>SUM(L22:L25)</f>
        <v>25961.7</v>
      </c>
      <c r="M20" s="232">
        <f>SUM(M22:M25)</f>
        <v>2884.6</v>
      </c>
    </row>
    <row r="21" spans="1:14" s="237" customFormat="1" ht="15.75" x14ac:dyDescent="0.25">
      <c r="A21" s="234"/>
      <c r="B21" s="235" t="s">
        <v>286</v>
      </c>
      <c r="C21" s="236"/>
      <c r="D21" s="236"/>
      <c r="E21" s="236"/>
      <c r="F21" s="236"/>
      <c r="G21" s="236"/>
      <c r="H21" s="236"/>
      <c r="I21" s="236"/>
      <c r="J21" s="236"/>
      <c r="K21" s="236"/>
      <c r="L21" s="236"/>
      <c r="M21" s="236"/>
    </row>
    <row r="22" spans="1:14" s="241" customFormat="1" ht="31.5" x14ac:dyDescent="0.25">
      <c r="A22" s="238"/>
      <c r="B22" s="239" t="s">
        <v>858</v>
      </c>
      <c r="C22" s="240">
        <f t="shared" ref="C22:C29" si="3">D22+E22</f>
        <v>1.11E-2</v>
      </c>
      <c r="D22" s="240">
        <f>11752.30029-11752.30029</f>
        <v>0</v>
      </c>
      <c r="E22" s="240">
        <v>1.11E-2</v>
      </c>
      <c r="F22" s="240">
        <f>SUM(H22+I22)</f>
        <v>10379.384180000001</v>
      </c>
      <c r="G22" s="240"/>
      <c r="H22" s="240">
        <f>7072.97487+2268.32092</f>
        <v>9341.2957900000001</v>
      </c>
      <c r="I22" s="240">
        <f>1037.93286+0.15553</f>
        <v>1038.0883899999999</v>
      </c>
      <c r="J22" s="240">
        <f>SUM(L22+M22)</f>
        <v>28846.3</v>
      </c>
      <c r="K22" s="240"/>
      <c r="L22" s="240">
        <v>25961.7</v>
      </c>
      <c r="M22" s="240">
        <v>2884.6</v>
      </c>
    </row>
    <row r="23" spans="1:14" s="245" customFormat="1" ht="31.5" x14ac:dyDescent="0.25">
      <c r="A23" s="242"/>
      <c r="B23" s="243" t="s">
        <v>859</v>
      </c>
      <c r="C23" s="240">
        <f t="shared" si="3"/>
        <v>4211.17382</v>
      </c>
      <c r="D23" s="240">
        <v>3790.0564399999998</v>
      </c>
      <c r="E23" s="240">
        <v>421.11738000000003</v>
      </c>
      <c r="F23" s="240"/>
      <c r="G23" s="240"/>
      <c r="H23" s="244"/>
      <c r="I23" s="244"/>
      <c r="J23" s="244"/>
      <c r="K23" s="240"/>
      <c r="L23" s="244"/>
      <c r="M23" s="244"/>
    </row>
    <row r="24" spans="1:14" s="245" customFormat="1" ht="31.5" x14ac:dyDescent="0.25">
      <c r="A24" s="242"/>
      <c r="B24" s="246" t="s">
        <v>860</v>
      </c>
      <c r="C24" s="240">
        <f t="shared" si="3"/>
        <v>1750.1732</v>
      </c>
      <c r="D24" s="240">
        <v>1575.15588</v>
      </c>
      <c r="E24" s="240">
        <v>175.01732000000001</v>
      </c>
      <c r="F24" s="240"/>
      <c r="G24" s="240"/>
      <c r="H24" s="244"/>
      <c r="I24" s="244"/>
      <c r="J24" s="244"/>
      <c r="K24" s="240"/>
      <c r="L24" s="244"/>
      <c r="M24" s="244"/>
    </row>
    <row r="25" spans="1:14" s="245" customFormat="1" ht="45.75" customHeight="1" x14ac:dyDescent="0.25">
      <c r="A25" s="242"/>
      <c r="B25" s="246" t="s">
        <v>861</v>
      </c>
      <c r="C25" s="240">
        <f t="shared" si="3"/>
        <v>401.23525000000001</v>
      </c>
      <c r="D25" s="240">
        <v>361.11171999999999</v>
      </c>
      <c r="E25" s="240">
        <v>40.123530000000002</v>
      </c>
      <c r="F25" s="240"/>
      <c r="G25" s="240"/>
      <c r="H25" s="244"/>
      <c r="I25" s="244"/>
      <c r="J25" s="244"/>
      <c r="K25" s="240"/>
      <c r="L25" s="244"/>
      <c r="M25" s="244"/>
    </row>
    <row r="26" spans="1:14" s="251" customFormat="1" ht="31.5" x14ac:dyDescent="0.25">
      <c r="A26" s="247"/>
      <c r="B26" s="248" t="s">
        <v>863</v>
      </c>
      <c r="C26" s="240">
        <f t="shared" si="3"/>
        <v>599.99521000000004</v>
      </c>
      <c r="D26" s="249">
        <v>539.99567999999999</v>
      </c>
      <c r="E26" s="249">
        <v>59.99953</v>
      </c>
      <c r="F26" s="240"/>
      <c r="G26" s="240"/>
      <c r="H26" s="249"/>
      <c r="I26" s="249"/>
      <c r="J26" s="249"/>
      <c r="K26" s="240"/>
      <c r="L26" s="249"/>
      <c r="M26" s="249"/>
      <c r="N26" s="250"/>
    </row>
    <row r="27" spans="1:14" s="251" customFormat="1" ht="31.5" x14ac:dyDescent="0.25">
      <c r="A27" s="247"/>
      <c r="B27" s="248" t="s">
        <v>864</v>
      </c>
      <c r="C27" s="240">
        <f t="shared" si="3"/>
        <v>599.99279999999999</v>
      </c>
      <c r="D27" s="249">
        <v>539.99351999999999</v>
      </c>
      <c r="E27" s="249">
        <v>59.999279999999999</v>
      </c>
      <c r="F27" s="240"/>
      <c r="G27" s="240"/>
      <c r="H27" s="249"/>
      <c r="I27" s="249"/>
      <c r="J27" s="249"/>
      <c r="K27" s="240"/>
      <c r="L27" s="249"/>
      <c r="M27" s="249"/>
      <c r="N27" s="250"/>
    </row>
    <row r="28" spans="1:14" s="251" customFormat="1" ht="52.5" customHeight="1" x14ac:dyDescent="0.25">
      <c r="A28" s="247"/>
      <c r="B28" s="248" t="s">
        <v>865</v>
      </c>
      <c r="C28" s="240">
        <f t="shared" si="3"/>
        <v>599.96399999999994</v>
      </c>
      <c r="D28" s="249">
        <v>539.96759999999995</v>
      </c>
      <c r="E28" s="249">
        <v>59.996400000000001</v>
      </c>
      <c r="F28" s="240"/>
      <c r="G28" s="240"/>
      <c r="H28" s="249"/>
      <c r="I28" s="249"/>
      <c r="J28" s="249"/>
      <c r="K28" s="240"/>
      <c r="L28" s="249"/>
      <c r="M28" s="249"/>
      <c r="N28" s="250"/>
    </row>
    <row r="29" spans="1:14" s="251" customFormat="1" ht="47.25" x14ac:dyDescent="0.25">
      <c r="A29" s="247"/>
      <c r="B29" s="248" t="s">
        <v>913</v>
      </c>
      <c r="C29" s="249">
        <f t="shared" si="3"/>
        <v>720.40014000000008</v>
      </c>
      <c r="D29" s="249">
        <v>648.36012000000005</v>
      </c>
      <c r="E29" s="249">
        <v>72.040019999999998</v>
      </c>
      <c r="F29" s="240"/>
      <c r="G29" s="240"/>
      <c r="H29" s="249"/>
      <c r="I29" s="249"/>
      <c r="J29" s="249"/>
      <c r="K29" s="240"/>
      <c r="L29" s="249"/>
      <c r="M29" s="249"/>
      <c r="N29" s="250"/>
    </row>
    <row r="30" spans="1:14" s="251" customFormat="1" ht="31.5" x14ac:dyDescent="0.25">
      <c r="A30" s="247"/>
      <c r="B30" s="248" t="s">
        <v>862</v>
      </c>
      <c r="C30" s="240"/>
      <c r="D30" s="249"/>
      <c r="E30" s="249"/>
      <c r="F30" s="240">
        <f t="shared" ref="F30:F38" si="4">SUM(H30+I30)</f>
        <v>589.50175999999999</v>
      </c>
      <c r="G30" s="240"/>
      <c r="H30" s="249">
        <v>530.55157999999994</v>
      </c>
      <c r="I30" s="249">
        <v>58.950180000000003</v>
      </c>
      <c r="J30" s="249"/>
      <c r="K30" s="240"/>
      <c r="L30" s="249"/>
      <c r="M30" s="249"/>
      <c r="N30" s="250"/>
    </row>
    <row r="31" spans="1:14" s="251" customFormat="1" ht="31.5" x14ac:dyDescent="0.25">
      <c r="A31" s="247"/>
      <c r="B31" s="248" t="s">
        <v>866</v>
      </c>
      <c r="C31" s="249"/>
      <c r="D31" s="249"/>
      <c r="E31" s="249"/>
      <c r="F31" s="249">
        <f t="shared" si="4"/>
        <v>391.66</v>
      </c>
      <c r="G31" s="249"/>
      <c r="H31" s="249">
        <v>352.49400000000003</v>
      </c>
      <c r="I31" s="249">
        <v>39.165999999999997</v>
      </c>
      <c r="J31" s="249"/>
      <c r="K31" s="240"/>
      <c r="L31" s="249"/>
      <c r="M31" s="249"/>
      <c r="N31" s="250"/>
    </row>
    <row r="32" spans="1:14" s="251" customFormat="1" ht="31.5" x14ac:dyDescent="0.25">
      <c r="A32" s="247"/>
      <c r="B32" s="248" t="s">
        <v>867</v>
      </c>
      <c r="C32" s="249"/>
      <c r="D32" s="249"/>
      <c r="E32" s="249"/>
      <c r="F32" s="249">
        <f t="shared" si="4"/>
        <v>599.95680000000004</v>
      </c>
      <c r="G32" s="249"/>
      <c r="H32" s="249">
        <v>539.96112000000005</v>
      </c>
      <c r="I32" s="249">
        <v>59.99568</v>
      </c>
      <c r="J32" s="249"/>
      <c r="K32" s="240"/>
      <c r="L32" s="249"/>
      <c r="M32" s="249"/>
      <c r="N32" s="250"/>
    </row>
    <row r="33" spans="1:14" s="251" customFormat="1" ht="31.5" x14ac:dyDescent="0.25">
      <c r="A33" s="247"/>
      <c r="B33" s="248" t="s">
        <v>868</v>
      </c>
      <c r="C33" s="249"/>
      <c r="D33" s="249"/>
      <c r="E33" s="249"/>
      <c r="F33" s="249">
        <f t="shared" si="4"/>
        <v>955.16412000000003</v>
      </c>
      <c r="G33" s="249"/>
      <c r="H33" s="249">
        <v>859.64769999999999</v>
      </c>
      <c r="I33" s="249">
        <v>95.516419999999997</v>
      </c>
      <c r="J33" s="249"/>
      <c r="K33" s="240"/>
      <c r="L33" s="249"/>
      <c r="M33" s="249"/>
      <c r="N33" s="250"/>
    </row>
    <row r="34" spans="1:14" s="251" customFormat="1" ht="31.5" x14ac:dyDescent="0.25">
      <c r="A34" s="247"/>
      <c r="B34" s="248" t="s">
        <v>869</v>
      </c>
      <c r="C34" s="249"/>
      <c r="D34" s="249"/>
      <c r="E34" s="249"/>
      <c r="F34" s="249">
        <f t="shared" si="4"/>
        <v>836.1506599999999</v>
      </c>
      <c r="G34" s="249"/>
      <c r="H34" s="249">
        <v>752.54558999999995</v>
      </c>
      <c r="I34" s="249">
        <v>83.605069999999998</v>
      </c>
      <c r="J34" s="249"/>
      <c r="K34" s="240"/>
      <c r="L34" s="249"/>
      <c r="M34" s="249"/>
      <c r="N34" s="250"/>
    </row>
    <row r="35" spans="1:14" s="251" customFormat="1" ht="47.25" x14ac:dyDescent="0.25">
      <c r="A35" s="247"/>
      <c r="B35" s="248" t="s">
        <v>870</v>
      </c>
      <c r="C35" s="249"/>
      <c r="D35" s="249"/>
      <c r="E35" s="249"/>
      <c r="F35" s="249">
        <f t="shared" si="4"/>
        <v>1298.6403599999999</v>
      </c>
      <c r="G35" s="249"/>
      <c r="H35" s="249">
        <v>1168.7763199999999</v>
      </c>
      <c r="I35" s="249">
        <v>129.86403999999999</v>
      </c>
      <c r="J35" s="249"/>
      <c r="K35" s="240"/>
      <c r="L35" s="249"/>
      <c r="M35" s="249"/>
      <c r="N35" s="250"/>
    </row>
    <row r="36" spans="1:14" s="251" customFormat="1" ht="31.5" x14ac:dyDescent="0.25">
      <c r="A36" s="247"/>
      <c r="B36" s="248" t="s">
        <v>871</v>
      </c>
      <c r="C36" s="249"/>
      <c r="D36" s="249"/>
      <c r="E36" s="249"/>
      <c r="F36" s="249">
        <f t="shared" si="4"/>
        <v>1237.67299</v>
      </c>
      <c r="G36" s="249"/>
      <c r="H36" s="249">
        <v>1113.90569</v>
      </c>
      <c r="I36" s="249">
        <v>123.76730000000001</v>
      </c>
      <c r="J36" s="249"/>
      <c r="K36" s="240"/>
      <c r="L36" s="249"/>
      <c r="M36" s="249"/>
      <c r="N36" s="250"/>
    </row>
    <row r="37" spans="1:14" s="251" customFormat="1" ht="63" x14ac:dyDescent="0.25">
      <c r="A37" s="247"/>
      <c r="B37" s="248" t="s">
        <v>872</v>
      </c>
      <c r="C37" s="249"/>
      <c r="D37" s="249"/>
      <c r="E37" s="249"/>
      <c r="F37" s="240">
        <f t="shared" si="4"/>
        <v>870.02467999999999</v>
      </c>
      <c r="G37" s="240"/>
      <c r="H37" s="249">
        <v>783.02220999999997</v>
      </c>
      <c r="I37" s="249">
        <v>87.002470000000002</v>
      </c>
      <c r="J37" s="249"/>
      <c r="K37" s="240"/>
      <c r="L37" s="249"/>
      <c r="M37" s="249"/>
      <c r="N37" s="250"/>
    </row>
    <row r="38" spans="1:14" s="251" customFormat="1" ht="15.75" x14ac:dyDescent="0.25">
      <c r="A38" s="247"/>
      <c r="B38" s="252" t="s">
        <v>873</v>
      </c>
      <c r="C38" s="249"/>
      <c r="D38" s="249"/>
      <c r="E38" s="249"/>
      <c r="F38" s="240">
        <f t="shared" si="4"/>
        <v>11850.444449999999</v>
      </c>
      <c r="G38" s="240"/>
      <c r="H38" s="249">
        <v>10665.4</v>
      </c>
      <c r="I38" s="249">
        <v>1185.0444500000001</v>
      </c>
      <c r="J38" s="249"/>
      <c r="K38" s="240"/>
      <c r="L38" s="249"/>
      <c r="M38" s="249"/>
      <c r="N38" s="250"/>
    </row>
    <row r="39" spans="1:14" s="255" customFormat="1" ht="36.75" customHeight="1" x14ac:dyDescent="0.25">
      <c r="A39" s="253"/>
      <c r="B39" s="231" t="s">
        <v>874</v>
      </c>
      <c r="C39" s="254">
        <f>SUM(C41:C46)</f>
        <v>3567.8864699999995</v>
      </c>
      <c r="D39" s="254"/>
      <c r="E39" s="254">
        <f>SUM(E41:E46)</f>
        <v>3567.8864699999995</v>
      </c>
      <c r="F39" s="254">
        <f>SUM(F41:F43)</f>
        <v>0</v>
      </c>
      <c r="G39" s="254"/>
      <c r="H39" s="254">
        <f t="shared" ref="H39:M39" si="5">SUM(H41:H43)</f>
        <v>0</v>
      </c>
      <c r="I39" s="254">
        <f t="shared" si="5"/>
        <v>0</v>
      </c>
      <c r="J39" s="254">
        <f t="shared" si="5"/>
        <v>0</v>
      </c>
      <c r="K39" s="254">
        <f t="shared" si="5"/>
        <v>0</v>
      </c>
      <c r="L39" s="254">
        <f t="shared" si="5"/>
        <v>0</v>
      </c>
      <c r="M39" s="254">
        <f t="shared" si="5"/>
        <v>0</v>
      </c>
    </row>
    <row r="40" spans="1:14" s="255" customFormat="1" ht="15.75" x14ac:dyDescent="0.25">
      <c r="A40" s="253"/>
      <c r="B40" s="259" t="s">
        <v>286</v>
      </c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</row>
    <row r="41" spans="1:14" s="245" customFormat="1" ht="39" customHeight="1" x14ac:dyDescent="0.25">
      <c r="A41" s="242"/>
      <c r="B41" s="256" t="s">
        <v>875</v>
      </c>
      <c r="C41" s="240">
        <f t="shared" ref="C41:C46" si="6">D41+E41</f>
        <v>599.98212999999998</v>
      </c>
      <c r="D41" s="240"/>
      <c r="E41" s="240">
        <v>599.98212999999998</v>
      </c>
      <c r="F41" s="240">
        <f>SUM(H41+I41)</f>
        <v>0</v>
      </c>
      <c r="G41" s="240"/>
      <c r="H41" s="244"/>
      <c r="I41" s="244"/>
      <c r="J41" s="244"/>
      <c r="K41" s="240"/>
      <c r="L41" s="244"/>
      <c r="M41" s="244"/>
    </row>
    <row r="42" spans="1:14" s="251" customFormat="1" ht="15.75" x14ac:dyDescent="0.25">
      <c r="A42" s="247"/>
      <c r="B42" s="257" t="s">
        <v>876</v>
      </c>
      <c r="C42" s="249">
        <f t="shared" si="6"/>
        <v>593.65335000000005</v>
      </c>
      <c r="D42" s="249"/>
      <c r="E42" s="249">
        <v>593.65335000000005</v>
      </c>
      <c r="F42" s="240">
        <f>SUM(H42+I42)</f>
        <v>0</v>
      </c>
      <c r="G42" s="240"/>
      <c r="H42" s="249"/>
      <c r="I42" s="249"/>
      <c r="J42" s="249"/>
      <c r="K42" s="240"/>
      <c r="L42" s="249"/>
      <c r="M42" s="249"/>
      <c r="N42" s="250"/>
    </row>
    <row r="43" spans="1:14" s="251" customFormat="1" ht="31.5" x14ac:dyDescent="0.25">
      <c r="A43" s="247"/>
      <c r="B43" s="257" t="s">
        <v>877</v>
      </c>
      <c r="C43" s="249">
        <f t="shared" si="6"/>
        <v>600</v>
      </c>
      <c r="D43" s="249"/>
      <c r="E43" s="249">
        <v>600</v>
      </c>
      <c r="F43" s="240">
        <f>SUM(H43+I43)</f>
        <v>0</v>
      </c>
      <c r="G43" s="240"/>
      <c r="H43" s="249"/>
      <c r="I43" s="249"/>
      <c r="J43" s="249"/>
      <c r="K43" s="240"/>
      <c r="L43" s="249"/>
      <c r="M43" s="249"/>
      <c r="N43" s="250"/>
    </row>
    <row r="44" spans="1:14" s="251" customFormat="1" ht="81.75" customHeight="1" x14ac:dyDescent="0.25">
      <c r="A44" s="247"/>
      <c r="B44" s="257" t="s">
        <v>878</v>
      </c>
      <c r="C44" s="249">
        <f t="shared" si="6"/>
        <v>575.22999000000004</v>
      </c>
      <c r="D44" s="249"/>
      <c r="E44" s="249">
        <v>575.22999000000004</v>
      </c>
      <c r="F44" s="240"/>
      <c r="G44" s="240"/>
      <c r="H44" s="249"/>
      <c r="I44" s="249"/>
      <c r="J44" s="249"/>
      <c r="K44" s="240"/>
      <c r="L44" s="249"/>
      <c r="M44" s="249"/>
      <c r="N44" s="250"/>
    </row>
    <row r="45" spans="1:14" s="251" customFormat="1" ht="63" x14ac:dyDescent="0.25">
      <c r="A45" s="247"/>
      <c r="B45" s="257" t="s">
        <v>879</v>
      </c>
      <c r="C45" s="249">
        <f t="shared" si="6"/>
        <v>600</v>
      </c>
      <c r="D45" s="249"/>
      <c r="E45" s="249">
        <v>600</v>
      </c>
      <c r="F45" s="240"/>
      <c r="G45" s="240"/>
      <c r="H45" s="249"/>
      <c r="I45" s="249"/>
      <c r="J45" s="249"/>
      <c r="K45" s="240"/>
      <c r="L45" s="249"/>
      <c r="M45" s="249"/>
      <c r="N45" s="250"/>
    </row>
    <row r="46" spans="1:14" s="251" customFormat="1" ht="47.25" x14ac:dyDescent="0.25">
      <c r="A46" s="247"/>
      <c r="B46" s="257" t="s">
        <v>880</v>
      </c>
      <c r="C46" s="249">
        <f t="shared" si="6"/>
        <v>599.02099999999996</v>
      </c>
      <c r="D46" s="249"/>
      <c r="E46" s="249">
        <v>599.02099999999996</v>
      </c>
      <c r="F46" s="240"/>
      <c r="G46" s="240"/>
      <c r="H46" s="249"/>
      <c r="I46" s="249"/>
      <c r="J46" s="249"/>
      <c r="K46" s="240"/>
      <c r="L46" s="249"/>
      <c r="M46" s="249"/>
      <c r="N46" s="250"/>
    </row>
    <row r="47" spans="1:14" s="233" customFormat="1" ht="15.75" x14ac:dyDescent="0.25">
      <c r="A47" s="230"/>
      <c r="B47" s="231" t="s">
        <v>881</v>
      </c>
      <c r="C47" s="232">
        <f>SUM(C49:C62)</f>
        <v>4346.5858699999999</v>
      </c>
      <c r="D47" s="232"/>
      <c r="E47" s="232">
        <f>SUM(E49:E62)</f>
        <v>4346.5858699999999</v>
      </c>
      <c r="F47" s="232">
        <f>SUM(F60:F62)</f>
        <v>3366.3</v>
      </c>
      <c r="G47" s="232"/>
      <c r="H47" s="232"/>
      <c r="I47" s="232">
        <f>SUM(I60:I62)</f>
        <v>3366.3</v>
      </c>
      <c r="J47" s="232">
        <f>SUM(J63)</f>
        <v>884.4</v>
      </c>
      <c r="K47" s="232"/>
      <c r="L47" s="232">
        <v>0</v>
      </c>
      <c r="M47" s="232">
        <f>SUM(M63)</f>
        <v>884.4</v>
      </c>
    </row>
    <row r="48" spans="1:14" ht="15.75" x14ac:dyDescent="0.25">
      <c r="A48" s="258"/>
      <c r="B48" s="259" t="s">
        <v>286</v>
      </c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</row>
    <row r="49" spans="1:14" s="245" customFormat="1" ht="31.5" x14ac:dyDescent="0.25">
      <c r="A49" s="242"/>
      <c r="B49" s="260" t="s">
        <v>882</v>
      </c>
      <c r="C49" s="240">
        <f>D49+E49</f>
        <v>995.75617</v>
      </c>
      <c r="D49" s="244">
        <v>0</v>
      </c>
      <c r="E49" s="244">
        <v>995.75617</v>
      </c>
      <c r="F49" s="244"/>
      <c r="G49" s="244"/>
      <c r="H49" s="244"/>
      <c r="I49" s="244"/>
      <c r="J49" s="244"/>
      <c r="K49" s="244"/>
      <c r="L49" s="244"/>
      <c r="M49" s="244"/>
    </row>
    <row r="50" spans="1:14" s="245" customFormat="1" ht="31.5" x14ac:dyDescent="0.25">
      <c r="A50" s="242"/>
      <c r="B50" s="260" t="s">
        <v>883</v>
      </c>
      <c r="C50" s="240">
        <f t="shared" ref="C50:C59" si="7">E50</f>
        <v>599.97931000000005</v>
      </c>
      <c r="D50" s="244">
        <v>0</v>
      </c>
      <c r="E50" s="244">
        <v>599.97931000000005</v>
      </c>
      <c r="F50" s="244"/>
      <c r="G50" s="244"/>
      <c r="H50" s="244"/>
      <c r="I50" s="244"/>
      <c r="J50" s="244"/>
      <c r="K50" s="244"/>
      <c r="L50" s="244"/>
      <c r="M50" s="244"/>
    </row>
    <row r="51" spans="1:14" s="245" customFormat="1" ht="31.5" x14ac:dyDescent="0.25">
      <c r="A51" s="242"/>
      <c r="B51" s="260" t="s">
        <v>884</v>
      </c>
      <c r="C51" s="240">
        <f t="shared" si="7"/>
        <v>219.10459</v>
      </c>
      <c r="D51" s="244">
        <v>0</v>
      </c>
      <c r="E51" s="244">
        <v>219.10459</v>
      </c>
      <c r="F51" s="244"/>
      <c r="G51" s="244"/>
      <c r="H51" s="244"/>
      <c r="I51" s="244"/>
      <c r="J51" s="244"/>
      <c r="K51" s="244"/>
      <c r="L51" s="244"/>
      <c r="M51" s="244"/>
    </row>
    <row r="52" spans="1:14" s="245" customFormat="1" ht="31.5" x14ac:dyDescent="0.25">
      <c r="A52" s="242"/>
      <c r="B52" s="260" t="s">
        <v>885</v>
      </c>
      <c r="C52" s="240">
        <f t="shared" si="7"/>
        <v>600</v>
      </c>
      <c r="D52" s="244">
        <v>0</v>
      </c>
      <c r="E52" s="244">
        <v>600</v>
      </c>
      <c r="F52" s="244"/>
      <c r="G52" s="244"/>
      <c r="H52" s="244"/>
      <c r="I52" s="244"/>
      <c r="J52" s="244"/>
      <c r="K52" s="244"/>
      <c r="L52" s="244"/>
      <c r="M52" s="244"/>
    </row>
    <row r="53" spans="1:14" s="245" customFormat="1" ht="47.25" x14ac:dyDescent="0.25">
      <c r="A53" s="242"/>
      <c r="B53" s="260" t="s">
        <v>886</v>
      </c>
      <c r="C53" s="240">
        <f t="shared" si="7"/>
        <v>210.04329999999999</v>
      </c>
      <c r="D53" s="244">
        <v>0</v>
      </c>
      <c r="E53" s="244">
        <v>210.04329999999999</v>
      </c>
      <c r="F53" s="244"/>
      <c r="G53" s="244"/>
      <c r="H53" s="244"/>
      <c r="I53" s="244"/>
      <c r="J53" s="244"/>
      <c r="K53" s="244"/>
      <c r="L53" s="244"/>
      <c r="M53" s="244"/>
    </row>
    <row r="54" spans="1:14" s="245" customFormat="1" ht="31.5" x14ac:dyDescent="0.25">
      <c r="A54" s="242"/>
      <c r="B54" s="260" t="s">
        <v>887</v>
      </c>
      <c r="C54" s="240">
        <f t="shared" si="7"/>
        <v>70.806330000000003</v>
      </c>
      <c r="D54" s="244"/>
      <c r="E54" s="244">
        <v>70.806330000000003</v>
      </c>
      <c r="F54" s="244"/>
      <c r="G54" s="244"/>
      <c r="H54" s="244"/>
      <c r="I54" s="244"/>
      <c r="J54" s="244"/>
      <c r="K54" s="244"/>
      <c r="L54" s="244"/>
      <c r="M54" s="244"/>
    </row>
    <row r="55" spans="1:14" s="245" customFormat="1" ht="63" x14ac:dyDescent="0.25">
      <c r="A55" s="242"/>
      <c r="B55" s="260" t="s">
        <v>888</v>
      </c>
      <c r="C55" s="240">
        <f t="shared" si="7"/>
        <v>583.08397000000002</v>
      </c>
      <c r="D55" s="244">
        <v>0</v>
      </c>
      <c r="E55" s="244">
        <v>583.08397000000002</v>
      </c>
      <c r="F55" s="244"/>
      <c r="G55" s="244"/>
      <c r="H55" s="244"/>
      <c r="I55" s="244"/>
      <c r="J55" s="244"/>
      <c r="K55" s="244"/>
      <c r="L55" s="244"/>
      <c r="M55" s="244"/>
    </row>
    <row r="56" spans="1:14" s="245" customFormat="1" ht="31.5" x14ac:dyDescent="0.25">
      <c r="A56" s="242"/>
      <c r="B56" s="260" t="s">
        <v>889</v>
      </c>
      <c r="C56" s="240">
        <f t="shared" si="7"/>
        <v>200</v>
      </c>
      <c r="D56" s="244"/>
      <c r="E56" s="244">
        <v>200</v>
      </c>
      <c r="F56" s="244"/>
      <c r="G56" s="244"/>
      <c r="H56" s="244"/>
      <c r="I56" s="244"/>
      <c r="J56" s="244"/>
      <c r="K56" s="244"/>
      <c r="L56" s="244"/>
      <c r="M56" s="244"/>
    </row>
    <row r="57" spans="1:14" s="245" customFormat="1" ht="31.5" x14ac:dyDescent="0.25">
      <c r="A57" s="242"/>
      <c r="B57" s="260" t="s">
        <v>890</v>
      </c>
      <c r="C57" s="240">
        <f t="shared" si="7"/>
        <v>45.185870000000001</v>
      </c>
      <c r="D57" s="244"/>
      <c r="E57" s="244">
        <v>45.185870000000001</v>
      </c>
      <c r="F57" s="244"/>
      <c r="G57" s="244"/>
      <c r="H57" s="244"/>
      <c r="I57" s="244"/>
      <c r="J57" s="244"/>
      <c r="K57" s="244"/>
      <c r="L57" s="244"/>
      <c r="M57" s="244"/>
    </row>
    <row r="58" spans="1:14" s="245" customFormat="1" ht="31.5" x14ac:dyDescent="0.25">
      <c r="A58" s="242"/>
      <c r="B58" s="260" t="s">
        <v>891</v>
      </c>
      <c r="C58" s="240">
        <f t="shared" si="7"/>
        <v>600</v>
      </c>
      <c r="D58" s="244"/>
      <c r="E58" s="244">
        <v>600</v>
      </c>
      <c r="F58" s="244"/>
      <c r="G58" s="244"/>
      <c r="H58" s="244"/>
      <c r="I58" s="244"/>
      <c r="J58" s="244"/>
      <c r="K58" s="244"/>
      <c r="L58" s="244"/>
      <c r="M58" s="244"/>
    </row>
    <row r="59" spans="1:14" s="245" customFormat="1" ht="47.25" x14ac:dyDescent="0.25">
      <c r="A59" s="242"/>
      <c r="B59" s="260" t="s">
        <v>892</v>
      </c>
      <c r="C59" s="240">
        <f t="shared" si="7"/>
        <v>222.62633</v>
      </c>
      <c r="D59" s="244"/>
      <c r="E59" s="244">
        <v>222.62633</v>
      </c>
      <c r="F59" s="244"/>
      <c r="G59" s="244"/>
      <c r="H59" s="244"/>
      <c r="I59" s="244"/>
      <c r="J59" s="244"/>
      <c r="K59" s="244"/>
      <c r="L59" s="244"/>
      <c r="M59" s="244"/>
    </row>
    <row r="60" spans="1:14" s="245" customFormat="1" ht="15.75" x14ac:dyDescent="0.25">
      <c r="A60" s="242"/>
      <c r="B60" s="260" t="s">
        <v>893</v>
      </c>
      <c r="C60" s="240"/>
      <c r="D60" s="244"/>
      <c r="E60" s="244"/>
      <c r="F60" s="244">
        <f>H60+I60</f>
        <v>391.9</v>
      </c>
      <c r="G60" s="244"/>
      <c r="H60" s="244"/>
      <c r="I60" s="244">
        <v>391.9</v>
      </c>
      <c r="J60" s="244"/>
      <c r="K60" s="244"/>
      <c r="L60" s="244"/>
      <c r="M60" s="244"/>
    </row>
    <row r="61" spans="1:14" s="245" customFormat="1" ht="31.5" x14ac:dyDescent="0.25">
      <c r="A61" s="242"/>
      <c r="B61" s="260" t="s">
        <v>885</v>
      </c>
      <c r="C61" s="240"/>
      <c r="D61" s="244"/>
      <c r="E61" s="244"/>
      <c r="F61" s="244">
        <f>H61+I61</f>
        <v>1329.9</v>
      </c>
      <c r="G61" s="244"/>
      <c r="H61" s="244"/>
      <c r="I61" s="244">
        <v>1329.9</v>
      </c>
      <c r="J61" s="244"/>
      <c r="K61" s="244"/>
      <c r="L61" s="244"/>
      <c r="M61" s="244"/>
    </row>
    <row r="62" spans="1:14" s="245" customFormat="1" ht="31.5" x14ac:dyDescent="0.25">
      <c r="A62" s="242"/>
      <c r="B62" s="260" t="s">
        <v>894</v>
      </c>
      <c r="C62" s="240"/>
      <c r="D62" s="244"/>
      <c r="E62" s="244"/>
      <c r="F62" s="244">
        <f>H62+I62</f>
        <v>1644.5</v>
      </c>
      <c r="G62" s="244"/>
      <c r="H62" s="244"/>
      <c r="I62" s="244">
        <v>1644.5</v>
      </c>
      <c r="J62" s="244"/>
      <c r="K62" s="244"/>
      <c r="L62" s="244"/>
      <c r="M62" s="244"/>
      <c r="N62" s="261"/>
    </row>
    <row r="63" spans="1:14" s="245" customFormat="1" ht="15.75" x14ac:dyDescent="0.25">
      <c r="A63" s="242"/>
      <c r="B63" s="260" t="s">
        <v>895</v>
      </c>
      <c r="C63" s="240"/>
      <c r="D63" s="244"/>
      <c r="E63" s="244"/>
      <c r="F63" s="244"/>
      <c r="G63" s="244"/>
      <c r="H63" s="244"/>
      <c r="I63" s="244"/>
      <c r="J63" s="244">
        <f>SUM(M63)</f>
        <v>884.4</v>
      </c>
      <c r="K63" s="244"/>
      <c r="L63" s="244"/>
      <c r="M63" s="244">
        <v>884.4</v>
      </c>
      <c r="N63" s="261"/>
    </row>
    <row r="64" spans="1:14" s="265" customFormat="1" ht="72.75" customHeight="1" x14ac:dyDescent="0.25">
      <c r="A64" s="253"/>
      <c r="B64" s="262" t="s">
        <v>896</v>
      </c>
      <c r="C64" s="232">
        <v>315</v>
      </c>
      <c r="D64" s="263"/>
      <c r="E64" s="263">
        <v>315</v>
      </c>
      <c r="F64" s="263"/>
      <c r="G64" s="263"/>
      <c r="H64" s="263"/>
      <c r="I64" s="263"/>
      <c r="J64" s="263"/>
      <c r="K64" s="263"/>
      <c r="L64" s="263"/>
      <c r="M64" s="263"/>
      <c r="N64" s="264"/>
    </row>
    <row r="65" spans="1:14" s="265" customFormat="1" ht="63" x14ac:dyDescent="0.25">
      <c r="A65" s="253"/>
      <c r="B65" s="262" t="s">
        <v>897</v>
      </c>
      <c r="C65" s="232">
        <v>819</v>
      </c>
      <c r="D65" s="263"/>
      <c r="E65" s="263">
        <v>819</v>
      </c>
      <c r="F65" s="263"/>
      <c r="G65" s="263"/>
      <c r="H65" s="263"/>
      <c r="I65" s="263"/>
      <c r="J65" s="263"/>
      <c r="K65" s="263"/>
      <c r="L65" s="263"/>
      <c r="M65" s="263"/>
      <c r="N65" s="264"/>
    </row>
    <row r="66" spans="1:14" s="222" customFormat="1" ht="31.5" x14ac:dyDescent="0.25">
      <c r="A66" s="219" t="s">
        <v>898</v>
      </c>
      <c r="B66" s="227" t="s">
        <v>430</v>
      </c>
      <c r="C66" s="221">
        <f>D66+E66</f>
        <v>26227.3</v>
      </c>
      <c r="D66" s="221">
        <v>0</v>
      </c>
      <c r="E66" s="221">
        <f>E67</f>
        <v>26227.3</v>
      </c>
      <c r="F66" s="221">
        <f>F67</f>
        <v>22207.9</v>
      </c>
      <c r="G66" s="221"/>
      <c r="H66" s="221">
        <v>0</v>
      </c>
      <c r="I66" s="221">
        <f>I67</f>
        <v>22207.9</v>
      </c>
      <c r="J66" s="221">
        <f>L66+M66</f>
        <v>29543.1</v>
      </c>
      <c r="K66" s="221"/>
      <c r="L66" s="266">
        <v>0</v>
      </c>
      <c r="M66" s="221">
        <v>29543.1</v>
      </c>
    </row>
    <row r="67" spans="1:14" s="233" customFormat="1" ht="15.75" x14ac:dyDescent="0.25">
      <c r="A67" s="230"/>
      <c r="B67" s="284" t="s">
        <v>899</v>
      </c>
      <c r="C67" s="232">
        <f>D67+E67</f>
        <v>26227.3</v>
      </c>
      <c r="D67" s="232">
        <v>0</v>
      </c>
      <c r="E67" s="232">
        <f>27314.3-350-737</f>
        <v>26227.3</v>
      </c>
      <c r="F67" s="232">
        <f>H67+I67</f>
        <v>22207.9</v>
      </c>
      <c r="G67" s="232"/>
      <c r="H67" s="232">
        <v>0</v>
      </c>
      <c r="I67" s="232">
        <f>28406.9-6199</f>
        <v>22207.9</v>
      </c>
      <c r="J67" s="232">
        <f>L67+M67</f>
        <v>29543.1</v>
      </c>
      <c r="K67" s="232"/>
      <c r="L67" s="283">
        <v>0</v>
      </c>
      <c r="M67" s="232">
        <v>29543.1</v>
      </c>
    </row>
    <row r="68" spans="1:14" s="226" customFormat="1" ht="31.5" x14ac:dyDescent="0.25">
      <c r="A68" s="219" t="s">
        <v>900</v>
      </c>
      <c r="B68" s="268" t="s">
        <v>825</v>
      </c>
      <c r="C68" s="221"/>
      <c r="D68" s="221"/>
      <c r="E68" s="221"/>
      <c r="F68" s="221">
        <f t="shared" ref="F68:M68" si="8">F69</f>
        <v>41864.770000000004</v>
      </c>
      <c r="G68" s="221">
        <f t="shared" si="8"/>
        <v>39572.673840000003</v>
      </c>
      <c r="H68" s="221">
        <f t="shared" si="8"/>
        <v>2082.7723099999998</v>
      </c>
      <c r="I68" s="221">
        <f t="shared" si="8"/>
        <v>209.32384999999999</v>
      </c>
      <c r="J68" s="221">
        <f t="shared" si="8"/>
        <v>50149.65</v>
      </c>
      <c r="K68" s="221">
        <f t="shared" si="8"/>
        <v>47403.956680000003</v>
      </c>
      <c r="L68" s="266">
        <f t="shared" si="8"/>
        <v>2494.9450700000002</v>
      </c>
      <c r="M68" s="221">
        <f t="shared" si="8"/>
        <v>250.74825000000001</v>
      </c>
    </row>
    <row r="69" spans="1:14" s="233" customFormat="1" ht="31.5" x14ac:dyDescent="0.25">
      <c r="A69" s="230"/>
      <c r="B69" s="282" t="s">
        <v>901</v>
      </c>
      <c r="C69" s="232"/>
      <c r="D69" s="232"/>
      <c r="E69" s="232"/>
      <c r="F69" s="232">
        <f>F71</f>
        <v>41864.770000000004</v>
      </c>
      <c r="G69" s="232">
        <f>G71</f>
        <v>39572.673840000003</v>
      </c>
      <c r="H69" s="232">
        <f>H71</f>
        <v>2082.7723099999998</v>
      </c>
      <c r="I69" s="232">
        <f>I71</f>
        <v>209.32384999999999</v>
      </c>
      <c r="J69" s="232">
        <f>J72</f>
        <v>50149.65</v>
      </c>
      <c r="K69" s="232">
        <f>K72</f>
        <v>47403.956680000003</v>
      </c>
      <c r="L69" s="283">
        <f>L72</f>
        <v>2494.9450700000002</v>
      </c>
      <c r="M69" s="232">
        <f>M72</f>
        <v>250.74825000000001</v>
      </c>
    </row>
    <row r="70" spans="1:14" s="233" customFormat="1" ht="15.75" x14ac:dyDescent="0.25">
      <c r="A70" s="230"/>
      <c r="B70" s="259" t="s">
        <v>286</v>
      </c>
      <c r="C70" s="232"/>
      <c r="D70" s="232"/>
      <c r="E70" s="232"/>
      <c r="F70" s="232"/>
      <c r="G70" s="232"/>
      <c r="H70" s="232"/>
      <c r="I70" s="232"/>
      <c r="J70" s="232"/>
      <c r="K70" s="232"/>
      <c r="L70" s="283"/>
      <c r="M70" s="232"/>
    </row>
    <row r="71" spans="1:14" s="226" customFormat="1" ht="15.75" x14ac:dyDescent="0.25">
      <c r="A71" s="223"/>
      <c r="B71" s="260" t="s">
        <v>902</v>
      </c>
      <c r="C71" s="225"/>
      <c r="D71" s="225"/>
      <c r="E71" s="225"/>
      <c r="F71" s="240">
        <f>G71+H71+I71</f>
        <v>41864.770000000004</v>
      </c>
      <c r="G71" s="240">
        <v>39572.673840000003</v>
      </c>
      <c r="H71" s="240">
        <v>2082.7723099999998</v>
      </c>
      <c r="I71" s="240">
        <v>209.32384999999999</v>
      </c>
      <c r="J71" s="225"/>
      <c r="K71" s="240"/>
      <c r="L71" s="267"/>
      <c r="M71" s="225"/>
    </row>
    <row r="72" spans="1:14" s="226" customFormat="1" ht="31.5" x14ac:dyDescent="0.25">
      <c r="A72" s="223"/>
      <c r="B72" s="260" t="s">
        <v>903</v>
      </c>
      <c r="C72" s="225"/>
      <c r="D72" s="225"/>
      <c r="E72" s="225"/>
      <c r="F72" s="240"/>
      <c r="G72" s="240"/>
      <c r="H72" s="240"/>
      <c r="I72" s="240"/>
      <c r="J72" s="225">
        <f>K72+L72+M72</f>
        <v>50149.65</v>
      </c>
      <c r="K72" s="240">
        <v>47403.956680000003</v>
      </c>
      <c r="L72" s="267">
        <v>2494.9450700000002</v>
      </c>
      <c r="M72" s="225">
        <v>250.74825000000001</v>
      </c>
    </row>
    <row r="73" spans="1:14" s="218" customFormat="1" ht="47.25" x14ac:dyDescent="0.25">
      <c r="A73" s="215" t="s">
        <v>904</v>
      </c>
      <c r="B73" s="216" t="s">
        <v>905</v>
      </c>
      <c r="C73" s="217">
        <f>C75</f>
        <v>770.62310000000002</v>
      </c>
      <c r="D73" s="217">
        <v>0</v>
      </c>
      <c r="E73" s="217">
        <f>E75</f>
        <v>770.62310000000002</v>
      </c>
      <c r="F73" s="217">
        <f>I73</f>
        <v>572.29999999999995</v>
      </c>
      <c r="G73" s="217"/>
      <c r="H73" s="217">
        <v>0</v>
      </c>
      <c r="I73" s="217">
        <f>I75</f>
        <v>572.29999999999995</v>
      </c>
      <c r="J73" s="217">
        <f>J75</f>
        <v>595.20000000000005</v>
      </c>
      <c r="K73" s="217"/>
      <c r="L73" s="269">
        <v>0</v>
      </c>
      <c r="M73" s="217">
        <f>M75</f>
        <v>595.20000000000005</v>
      </c>
    </row>
    <row r="74" spans="1:14" s="226" customFormat="1" ht="47.25" x14ac:dyDescent="0.25">
      <c r="A74" s="219" t="s">
        <v>906</v>
      </c>
      <c r="B74" s="220" t="s">
        <v>907</v>
      </c>
      <c r="C74" s="270">
        <f>C75</f>
        <v>770.62310000000002</v>
      </c>
      <c r="D74" s="270"/>
      <c r="E74" s="270">
        <f>E75</f>
        <v>770.62310000000002</v>
      </c>
      <c r="F74" s="270"/>
      <c r="G74" s="270"/>
      <c r="H74" s="270"/>
      <c r="I74" s="270"/>
      <c r="J74" s="270"/>
      <c r="K74" s="270"/>
      <c r="L74" s="271"/>
      <c r="M74" s="270"/>
    </row>
    <row r="75" spans="1:14" s="289" customFormat="1" ht="63" x14ac:dyDescent="0.25">
      <c r="A75" s="285"/>
      <c r="B75" s="286" t="s">
        <v>908</v>
      </c>
      <c r="C75" s="263">
        <f>E75</f>
        <v>770.62310000000002</v>
      </c>
      <c r="D75" s="263"/>
      <c r="E75" s="263">
        <f>E77+E78+E79+E80</f>
        <v>770.62310000000002</v>
      </c>
      <c r="F75" s="263">
        <f>I75</f>
        <v>572.29999999999995</v>
      </c>
      <c r="G75" s="263"/>
      <c r="H75" s="263">
        <v>0</v>
      </c>
      <c r="I75" s="263">
        <v>572.29999999999995</v>
      </c>
      <c r="J75" s="263">
        <v>595.20000000000005</v>
      </c>
      <c r="K75" s="263"/>
      <c r="L75" s="287">
        <v>0</v>
      </c>
      <c r="M75" s="288">
        <v>595.20000000000005</v>
      </c>
    </row>
    <row r="76" spans="1:14" s="289" customFormat="1" ht="15.75" x14ac:dyDescent="0.25">
      <c r="A76" s="285"/>
      <c r="B76" s="259" t="s">
        <v>286</v>
      </c>
      <c r="C76" s="263"/>
      <c r="D76" s="263"/>
      <c r="E76" s="263"/>
      <c r="F76" s="263"/>
      <c r="G76" s="263"/>
      <c r="H76" s="263"/>
      <c r="I76" s="263"/>
      <c r="J76" s="263"/>
      <c r="K76" s="263"/>
      <c r="L76" s="287"/>
      <c r="M76" s="288"/>
    </row>
    <row r="77" spans="1:14" s="245" customFormat="1" ht="51" customHeight="1" x14ac:dyDescent="0.25">
      <c r="A77" s="242"/>
      <c r="B77" s="272" t="s">
        <v>909</v>
      </c>
      <c r="C77" s="244">
        <f>E77</f>
        <v>155.91681</v>
      </c>
      <c r="D77" s="244"/>
      <c r="E77" s="244">
        <v>155.91681</v>
      </c>
      <c r="F77" s="244"/>
      <c r="G77" s="244"/>
      <c r="H77" s="244"/>
      <c r="I77" s="244"/>
      <c r="J77" s="244"/>
      <c r="K77" s="244"/>
      <c r="L77" s="273"/>
      <c r="M77" s="274"/>
    </row>
    <row r="78" spans="1:14" s="245" customFormat="1" ht="30" customHeight="1" x14ac:dyDescent="0.25">
      <c r="A78" s="242"/>
      <c r="B78" s="275" t="s">
        <v>910</v>
      </c>
      <c r="C78" s="244">
        <f>E78</f>
        <v>387</v>
      </c>
      <c r="D78" s="244"/>
      <c r="E78" s="244">
        <v>387</v>
      </c>
      <c r="F78" s="244"/>
      <c r="G78" s="244"/>
      <c r="H78" s="244"/>
      <c r="I78" s="244"/>
      <c r="J78" s="244"/>
      <c r="K78" s="244"/>
      <c r="L78" s="273"/>
      <c r="M78" s="274"/>
    </row>
    <row r="79" spans="1:14" s="245" customFormat="1" ht="47.25" x14ac:dyDescent="0.25">
      <c r="A79" s="242"/>
      <c r="B79" s="272" t="s">
        <v>911</v>
      </c>
      <c r="C79" s="244">
        <f>E79</f>
        <v>167.70629000000002</v>
      </c>
      <c r="D79" s="244"/>
      <c r="E79" s="244">
        <f>7.38319+160.3231</f>
        <v>167.70629000000002</v>
      </c>
      <c r="F79" s="244"/>
      <c r="G79" s="244"/>
      <c r="H79" s="244"/>
      <c r="I79" s="244"/>
      <c r="J79" s="244"/>
      <c r="K79" s="244"/>
      <c r="L79" s="273"/>
      <c r="M79" s="274"/>
    </row>
    <row r="80" spans="1:14" s="245" customFormat="1" ht="31.5" x14ac:dyDescent="0.25">
      <c r="A80" s="242"/>
      <c r="B80" s="272" t="s">
        <v>912</v>
      </c>
      <c r="C80" s="244">
        <f>E80</f>
        <v>60</v>
      </c>
      <c r="D80" s="244"/>
      <c r="E80" s="244">
        <v>60</v>
      </c>
      <c r="F80" s="244"/>
      <c r="G80" s="244"/>
      <c r="H80" s="244"/>
      <c r="I80" s="244"/>
      <c r="J80" s="244"/>
      <c r="K80" s="244"/>
      <c r="L80" s="273"/>
      <c r="M80" s="274"/>
    </row>
  </sheetData>
  <mergeCells count="13">
    <mergeCell ref="K1:M1"/>
    <mergeCell ref="K2:M2"/>
    <mergeCell ref="K3:M3"/>
    <mergeCell ref="K4:M4"/>
    <mergeCell ref="A8:A11"/>
    <mergeCell ref="B8:B11"/>
    <mergeCell ref="A6:M6"/>
    <mergeCell ref="C8:M9"/>
    <mergeCell ref="C10:C11"/>
    <mergeCell ref="D10:E10"/>
    <mergeCell ref="F10:F11"/>
    <mergeCell ref="J10:J11"/>
    <mergeCell ref="K10:M10"/>
  </mergeCells>
  <pageMargins left="0.9055118110236221" right="0.51181102362204722" top="1.1417322834645669" bottom="0.35433070866141736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85" zoomScaleSheetLayoutView="85" workbookViewId="0">
      <selection activeCell="A6" sqref="A6:E6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5" width="16.28515625" customWidth="1"/>
  </cols>
  <sheetData>
    <row r="1" spans="1:5" ht="15.75" x14ac:dyDescent="0.25">
      <c r="A1" s="117"/>
      <c r="B1" s="117"/>
      <c r="C1" s="301" t="s">
        <v>719</v>
      </c>
      <c r="D1" s="301"/>
      <c r="E1" s="301"/>
    </row>
    <row r="2" spans="1:5" ht="15.75" customHeight="1" x14ac:dyDescent="0.25">
      <c r="A2" s="117"/>
      <c r="B2" s="118"/>
      <c r="C2" s="309" t="s">
        <v>715</v>
      </c>
      <c r="D2" s="309"/>
      <c r="E2" s="309"/>
    </row>
    <row r="3" spans="1:5" ht="15.75" x14ac:dyDescent="0.25">
      <c r="A3" s="117"/>
      <c r="B3" s="119"/>
      <c r="C3" s="301" t="s">
        <v>720</v>
      </c>
      <c r="D3" s="301"/>
      <c r="E3" s="301"/>
    </row>
    <row r="4" spans="1:5" ht="15.75" x14ac:dyDescent="0.25">
      <c r="A4" s="117"/>
      <c r="B4" s="120"/>
      <c r="C4" s="301" t="s">
        <v>920</v>
      </c>
      <c r="D4" s="301"/>
      <c r="E4" s="301"/>
    </row>
    <row r="5" spans="1:5" ht="15.75" x14ac:dyDescent="0.25">
      <c r="A5" s="117"/>
      <c r="B5" s="120"/>
      <c r="C5" s="113"/>
      <c r="D5" s="113"/>
      <c r="E5" s="113"/>
    </row>
    <row r="6" spans="1:5" ht="46.9" customHeight="1" x14ac:dyDescent="0.25">
      <c r="A6" s="310" t="s">
        <v>746</v>
      </c>
      <c r="B6" s="310"/>
      <c r="C6" s="310"/>
      <c r="D6" s="310"/>
      <c r="E6" s="310"/>
    </row>
    <row r="7" spans="1:5" x14ac:dyDescent="0.25">
      <c r="A7" s="117"/>
      <c r="B7" s="308" t="s">
        <v>721</v>
      </c>
      <c r="C7" s="308"/>
      <c r="D7" s="308"/>
      <c r="E7" s="308"/>
    </row>
    <row r="8" spans="1:5" ht="71.25" x14ac:dyDescent="0.25">
      <c r="A8" s="127" t="s">
        <v>722</v>
      </c>
      <c r="B8" s="127" t="s">
        <v>723</v>
      </c>
      <c r="C8" s="127" t="s">
        <v>3</v>
      </c>
      <c r="D8" s="127" t="s">
        <v>4</v>
      </c>
      <c r="E8" s="127" t="s">
        <v>5</v>
      </c>
    </row>
    <row r="9" spans="1:5" ht="14.45" hidden="1" x14ac:dyDescent="0.3">
      <c r="A9" s="121"/>
      <c r="B9" s="121"/>
      <c r="C9" s="121"/>
      <c r="D9" s="121"/>
      <c r="E9" s="121"/>
    </row>
    <row r="10" spans="1:5" ht="45" x14ac:dyDescent="0.25">
      <c r="A10" s="122" t="s">
        <v>724</v>
      </c>
      <c r="B10" s="123" t="s">
        <v>725</v>
      </c>
      <c r="C10" s="162">
        <f>C11</f>
        <v>9991.7208500000415</v>
      </c>
      <c r="D10" s="162">
        <f>D11</f>
        <v>-1.1641532182693481E-10</v>
      </c>
      <c r="E10" s="162">
        <f>E11</f>
        <v>1.1641532182693481E-10</v>
      </c>
    </row>
    <row r="11" spans="1:5" ht="30" x14ac:dyDescent="0.25">
      <c r="A11" s="122" t="s">
        <v>726</v>
      </c>
      <c r="B11" s="123" t="s">
        <v>727</v>
      </c>
      <c r="C11" s="162">
        <f>(C15+C16)</f>
        <v>9991.7208500000415</v>
      </c>
      <c r="D11" s="162">
        <f>(D15+D16)</f>
        <v>-1.1641532182693481E-10</v>
      </c>
      <c r="E11" s="162">
        <f>(E15+E16)</f>
        <v>1.1641532182693481E-10</v>
      </c>
    </row>
    <row r="12" spans="1:5" x14ac:dyDescent="0.25">
      <c r="A12" s="121" t="s">
        <v>728</v>
      </c>
      <c r="B12" s="124" t="s">
        <v>729</v>
      </c>
      <c r="C12" s="163">
        <f t="shared" ref="C12:E13" si="0">C13</f>
        <v>-873498.23479999998</v>
      </c>
      <c r="D12" s="163">
        <f t="shared" si="0"/>
        <v>-855210.09114999999</v>
      </c>
      <c r="E12" s="163">
        <f t="shared" si="0"/>
        <v>-876897.79075000004</v>
      </c>
    </row>
    <row r="13" spans="1:5" ht="30" x14ac:dyDescent="0.25">
      <c r="A13" s="121" t="s">
        <v>730</v>
      </c>
      <c r="B13" s="124" t="s">
        <v>731</v>
      </c>
      <c r="C13" s="163">
        <f t="shared" si="0"/>
        <v>-873498.23479999998</v>
      </c>
      <c r="D13" s="163">
        <f t="shared" si="0"/>
        <v>-855210.09114999999</v>
      </c>
      <c r="E13" s="163">
        <f t="shared" si="0"/>
        <v>-876897.79075000004</v>
      </c>
    </row>
    <row r="14" spans="1:5" ht="30" x14ac:dyDescent="0.25">
      <c r="A14" s="121" t="s">
        <v>732</v>
      </c>
      <c r="B14" s="124" t="s">
        <v>733</v>
      </c>
      <c r="C14" s="163">
        <f>C15</f>
        <v>-873498.23479999998</v>
      </c>
      <c r="D14" s="163">
        <f>D15</f>
        <v>-855210.09114999999</v>
      </c>
      <c r="E14" s="163">
        <f>E15</f>
        <v>-876897.79075000004</v>
      </c>
    </row>
    <row r="15" spans="1:5" ht="45" x14ac:dyDescent="0.25">
      <c r="A15" s="121" t="s">
        <v>734</v>
      </c>
      <c r="B15" s="124" t="s">
        <v>735</v>
      </c>
      <c r="C15" s="163">
        <v>-873498.23479999998</v>
      </c>
      <c r="D15" s="163">
        <v>-855210.09114999999</v>
      </c>
      <c r="E15" s="163">
        <v>-876897.79075000004</v>
      </c>
    </row>
    <row r="16" spans="1:5" ht="30" x14ac:dyDescent="0.25">
      <c r="A16" s="121" t="s">
        <v>736</v>
      </c>
      <c r="B16" s="124" t="s">
        <v>737</v>
      </c>
      <c r="C16" s="163">
        <f>C17</f>
        <v>883489.95565000002</v>
      </c>
      <c r="D16" s="163">
        <f>D19</f>
        <v>855210.09114999988</v>
      </c>
      <c r="E16" s="163">
        <f>E19</f>
        <v>876897.79075000016</v>
      </c>
    </row>
    <row r="17" spans="1:5" ht="30" x14ac:dyDescent="0.25">
      <c r="A17" s="121" t="s">
        <v>738</v>
      </c>
      <c r="B17" s="124" t="s">
        <v>739</v>
      </c>
      <c r="C17" s="163">
        <f>C18</f>
        <v>883489.95565000002</v>
      </c>
      <c r="D17" s="163">
        <f>D19</f>
        <v>855210.09114999988</v>
      </c>
      <c r="E17" s="163">
        <f>E19</f>
        <v>876897.79075000016</v>
      </c>
    </row>
    <row r="18" spans="1:5" ht="30" x14ac:dyDescent="0.25">
      <c r="A18" s="121" t="s">
        <v>740</v>
      </c>
      <c r="B18" s="124" t="s">
        <v>741</v>
      </c>
      <c r="C18" s="163">
        <f>C19</f>
        <v>883489.95565000002</v>
      </c>
      <c r="D18" s="163">
        <f>D19</f>
        <v>855210.09114999988</v>
      </c>
      <c r="E18" s="163">
        <f>E19</f>
        <v>876897.79075000016</v>
      </c>
    </row>
    <row r="19" spans="1:5" ht="45" x14ac:dyDescent="0.25">
      <c r="A19" s="121" t="s">
        <v>742</v>
      </c>
      <c r="B19" s="124" t="s">
        <v>743</v>
      </c>
      <c r="C19" s="163">
        <f>'Приложение 1'!H658</f>
        <v>883489.95565000002</v>
      </c>
      <c r="D19" s="163">
        <f>'Приложение 1'!K658+1217.732</f>
        <v>855210.09114999988</v>
      </c>
      <c r="E19" s="163">
        <f>'Приложение 1'!N658+10215.533</f>
        <v>876897.79075000016</v>
      </c>
    </row>
    <row r="20" spans="1:5" x14ac:dyDescent="0.25">
      <c r="A20" s="125"/>
      <c r="B20" s="126" t="s">
        <v>744</v>
      </c>
      <c r="C20" s="164">
        <f>C10</f>
        <v>9991.7208500000415</v>
      </c>
      <c r="D20" s="164">
        <f>D10</f>
        <v>-1.1641532182693481E-10</v>
      </c>
      <c r="E20" s="164">
        <f>E10</f>
        <v>1.1641532182693481E-10</v>
      </c>
    </row>
    <row r="21" spans="1:5" ht="14.45" x14ac:dyDescent="0.3">
      <c r="C21" t="s">
        <v>840</v>
      </c>
    </row>
    <row r="22" spans="1:5" ht="14.45" x14ac:dyDescent="0.3">
      <c r="C22" s="175" t="s">
        <v>840</v>
      </c>
    </row>
    <row r="23" spans="1:5" x14ac:dyDescent="0.25">
      <c r="B23" s="294" t="s">
        <v>840</v>
      </c>
      <c r="C23" t="s">
        <v>840</v>
      </c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</vt:lpstr>
      <vt:lpstr>Приложение 2</vt:lpstr>
      <vt:lpstr>Приложение 4</vt:lpstr>
      <vt:lpstr>Приложение 5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2023-12-18T05:34:30Z</cp:lastPrinted>
  <dcterms:created xsi:type="dcterms:W3CDTF">2022-11-04T08:13:16Z</dcterms:created>
  <dcterms:modified xsi:type="dcterms:W3CDTF">2023-12-18T06:24:15Z</dcterms:modified>
</cp:coreProperties>
</file>